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filterPrivacy="1" defaultThemeVersion="166925"/>
  <xr:revisionPtr revIDLastSave="0" documentId="13_ncr:1_{3DDE74EE-F5E1-224A-9258-BAF490FCF440}" xr6:coauthVersionLast="47" xr6:coauthVersionMax="47" xr10:uidLastSave="{00000000-0000-0000-0000-000000000000}"/>
  <bookViews>
    <workbookView xWindow="1880" yWindow="500" windowWidth="28240" windowHeight="16280" xr2:uid="{570D9BC2-6525-2644-BE89-4F17C43C8425}"/>
  </bookViews>
  <sheets>
    <sheet name="L8" sheetId="1" r:id="rId1"/>
    <sheet name="L27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C35" i="1"/>
  <c r="H18" i="1"/>
  <c r="C13" i="1"/>
  <c r="G49" i="2"/>
  <c r="G48" i="2"/>
  <c r="D28" i="1"/>
  <c r="B54" i="2"/>
  <c r="B53" i="2"/>
  <c r="B52" i="2"/>
  <c r="D50" i="2"/>
  <c r="C50" i="2"/>
  <c r="B50" i="2"/>
  <c r="D49" i="2"/>
  <c r="C49" i="2"/>
  <c r="B49" i="2"/>
  <c r="D48" i="2"/>
  <c r="C48" i="2"/>
  <c r="B48" i="2"/>
  <c r="K45" i="2"/>
  <c r="K44" i="2"/>
  <c r="O37" i="2" s="1"/>
  <c r="K42" i="2"/>
  <c r="O42" i="2" s="1"/>
  <c r="K39" i="2"/>
  <c r="K38" i="2"/>
  <c r="K37" i="2"/>
  <c r="G38" i="2"/>
  <c r="G39" i="2"/>
  <c r="G40" i="2"/>
  <c r="G41" i="2"/>
  <c r="G42" i="2"/>
  <c r="G43" i="2"/>
  <c r="G37" i="2"/>
  <c r="N30" i="2"/>
  <c r="C30" i="2"/>
  <c r="D30" i="2"/>
  <c r="E30" i="2"/>
  <c r="F30" i="2"/>
  <c r="G30" i="2"/>
  <c r="H30" i="2"/>
  <c r="I30" i="2"/>
  <c r="J30" i="2"/>
  <c r="K30" i="2"/>
  <c r="L30" i="2"/>
  <c r="M30" i="2"/>
  <c r="C31" i="2"/>
  <c r="G47" i="2" s="1"/>
  <c r="D31" i="2"/>
  <c r="E31" i="2"/>
  <c r="F31" i="2"/>
  <c r="G31" i="2"/>
  <c r="H31" i="2"/>
  <c r="I31" i="2"/>
  <c r="J31" i="2"/>
  <c r="K31" i="2"/>
  <c r="L31" i="2"/>
  <c r="M31" i="2"/>
  <c r="N31" i="2"/>
  <c r="C32" i="2"/>
  <c r="D32" i="2"/>
  <c r="E32" i="2"/>
  <c r="F32" i="2"/>
  <c r="G32" i="2"/>
  <c r="H32" i="2"/>
  <c r="I32" i="2"/>
  <c r="J32" i="2"/>
  <c r="K32" i="2"/>
  <c r="L32" i="2"/>
  <c r="M32" i="2"/>
  <c r="N32" i="2"/>
  <c r="B32" i="2"/>
  <c r="B31" i="2"/>
  <c r="B30" i="2"/>
  <c r="O29" i="2"/>
  <c r="C34" i="1"/>
  <c r="C32" i="1"/>
  <c r="C31" i="1"/>
  <c r="C29" i="1"/>
  <c r="D29" i="1"/>
  <c r="C28" i="1"/>
  <c r="N18" i="1"/>
  <c r="N19" i="1"/>
  <c r="N20" i="1"/>
  <c r="N21" i="1"/>
  <c r="N22" i="1"/>
  <c r="N23" i="1"/>
  <c r="N24" i="1"/>
  <c r="H19" i="1"/>
  <c r="H20" i="1"/>
  <c r="H21" i="1"/>
  <c r="H22" i="1"/>
  <c r="H23" i="1"/>
  <c r="D13" i="1"/>
  <c r="E13" i="1"/>
  <c r="F13" i="1"/>
  <c r="G13" i="1"/>
  <c r="H13" i="1"/>
  <c r="I13" i="1"/>
  <c r="D14" i="1"/>
  <c r="E14" i="1"/>
  <c r="F14" i="1"/>
  <c r="G14" i="1"/>
  <c r="H14" i="1"/>
  <c r="I14" i="1"/>
  <c r="C14" i="1"/>
  <c r="J11" i="1"/>
  <c r="J47" i="2" l="1"/>
  <c r="O39" i="2"/>
  <c r="R20" i="1"/>
  <c r="O38" i="2"/>
  <c r="F33" i="2"/>
  <c r="B39" i="2" s="1"/>
  <c r="J33" i="2"/>
  <c r="F15" i="1"/>
  <c r="C20" i="1" s="1"/>
  <c r="E20" i="1" s="1"/>
  <c r="R19" i="1"/>
  <c r="R18" i="1"/>
  <c r="E15" i="1"/>
  <c r="C22" i="1" s="1"/>
  <c r="M22" i="1" s="1"/>
  <c r="O22" i="1" s="1"/>
  <c r="R22" i="1"/>
  <c r="I15" i="1"/>
  <c r="C21" i="1" s="1"/>
  <c r="M21" i="1" s="1"/>
  <c r="O21" i="1" s="1"/>
  <c r="C15" i="1"/>
  <c r="C19" i="1" s="1"/>
  <c r="M20" i="1"/>
  <c r="O20" i="1" s="1"/>
  <c r="G27" i="1"/>
  <c r="J27" i="1" s="1"/>
  <c r="G28" i="1"/>
  <c r="D15" i="1"/>
  <c r="C18" i="1" s="1"/>
  <c r="R21" i="1"/>
  <c r="H15" i="1"/>
  <c r="C24" i="1" s="1"/>
  <c r="E24" i="1" s="1"/>
  <c r="G15" i="1"/>
  <c r="C23" i="1" s="1"/>
  <c r="J39" i="2"/>
  <c r="L39" i="2" s="1"/>
  <c r="D39" i="2"/>
  <c r="C33" i="2"/>
  <c r="B37" i="2" s="1"/>
  <c r="B33" i="2"/>
  <c r="D37" i="2"/>
  <c r="G33" i="2"/>
  <c r="L33" i="2"/>
  <c r="B40" i="2" s="1"/>
  <c r="D40" i="2" s="1"/>
  <c r="D33" i="2"/>
  <c r="K33" i="2"/>
  <c r="I33" i="2"/>
  <c r="B44" i="2" s="1"/>
  <c r="M33" i="2"/>
  <c r="E33" i="2"/>
  <c r="H33" i="2"/>
  <c r="N33" i="2"/>
  <c r="B41" i="2" l="1"/>
  <c r="D41" i="2" s="1"/>
  <c r="E21" i="1"/>
  <c r="F21" i="1" s="1"/>
  <c r="G21" i="1" s="1"/>
  <c r="E22" i="1"/>
  <c r="F22" i="1" s="1"/>
  <c r="G22" i="1" s="1"/>
  <c r="E23" i="1"/>
  <c r="F23" i="1" s="1"/>
  <c r="G23" i="1" s="1"/>
  <c r="M23" i="1"/>
  <c r="O23" i="1" s="1"/>
  <c r="P21" i="1" s="1"/>
  <c r="Q21" i="1" s="1"/>
  <c r="E18" i="1"/>
  <c r="F18" i="1" s="1"/>
  <c r="G18" i="1" s="1"/>
  <c r="M18" i="1"/>
  <c r="O18" i="1" s="1"/>
  <c r="P18" i="1" s="1"/>
  <c r="Q18" i="1" s="1"/>
  <c r="J15" i="1"/>
  <c r="F20" i="1"/>
  <c r="G20" i="1" s="1"/>
  <c r="E37" i="2"/>
  <c r="F37" i="2" s="1"/>
  <c r="B43" i="2"/>
  <c r="D43" i="2" s="1"/>
  <c r="E43" i="2" s="1"/>
  <c r="F43" i="2" s="1"/>
  <c r="E39" i="2"/>
  <c r="F39" i="2" s="1"/>
  <c r="B38" i="2"/>
  <c r="O33" i="2"/>
  <c r="J44" i="2"/>
  <c r="L44" i="2" s="1"/>
  <c r="D44" i="2"/>
  <c r="E41" i="2" s="1"/>
  <c r="F41" i="2" s="1"/>
  <c r="E40" i="2"/>
  <c r="F40" i="2" s="1"/>
  <c r="J37" i="2"/>
  <c r="L37" i="2" s="1"/>
  <c r="B42" i="2"/>
  <c r="E19" i="1"/>
  <c r="F19" i="1" s="1"/>
  <c r="G19" i="1" s="1"/>
  <c r="M19" i="1"/>
  <c r="O19" i="1" s="1"/>
  <c r="C25" i="1"/>
  <c r="M24" i="1" s="1"/>
  <c r="M39" i="2" l="1"/>
  <c r="N39" i="2" s="1"/>
  <c r="J50" i="2"/>
  <c r="G50" i="2"/>
  <c r="P19" i="1"/>
  <c r="Q19" i="1" s="1"/>
  <c r="P20" i="1"/>
  <c r="Q20" i="1" s="1"/>
  <c r="J30" i="1"/>
  <c r="G30" i="1"/>
  <c r="P22" i="1"/>
  <c r="Q22" i="1" s="1"/>
  <c r="D42" i="2"/>
  <c r="E42" i="2" s="1"/>
  <c r="F42" i="2" s="1"/>
  <c r="J42" i="2"/>
  <c r="L42" i="2" s="1"/>
  <c r="M42" i="2" s="1"/>
  <c r="N42" i="2" s="1"/>
  <c r="B45" i="2"/>
  <c r="J45" i="2" s="1"/>
  <c r="J38" i="2"/>
  <c r="L38" i="2" s="1"/>
  <c r="M38" i="2" s="1"/>
  <c r="N38" i="2" s="1"/>
  <c r="D38" i="2"/>
  <c r="E38" i="2" s="1"/>
  <c r="F38" i="2" s="1"/>
  <c r="M37" i="2"/>
  <c r="N37" i="2" s="1"/>
  <c r="G52" i="2" l="1"/>
  <c r="G51" i="2"/>
  <c r="J31" i="1"/>
  <c r="J32" i="1"/>
  <c r="G31" i="1"/>
  <c r="G32" i="1"/>
  <c r="J52" i="2"/>
  <c r="J51" i="2"/>
</calcChain>
</file>

<file path=xl/sharedStrings.xml><?xml version="1.0" encoding="utf-8"?>
<sst xmlns="http://schemas.openxmlformats.org/spreadsheetml/2006/main" count="131" uniqueCount="56">
  <si>
    <t>No.</t>
    <phoneticPr fontId="1"/>
  </si>
  <si>
    <t>A</t>
    <phoneticPr fontId="1"/>
  </si>
  <si>
    <t>B</t>
    <phoneticPr fontId="1"/>
  </si>
  <si>
    <t>A✕B</t>
    <phoneticPr fontId="1"/>
  </si>
  <si>
    <t>C</t>
    <phoneticPr fontId="1"/>
  </si>
  <si>
    <t>B✕C</t>
    <phoneticPr fontId="1"/>
  </si>
  <si>
    <t>D</t>
    <phoneticPr fontId="1"/>
  </si>
  <si>
    <t>第1水準の和</t>
    <rPh sb="0" eb="1">
      <t xml:space="preserve">ダイ </t>
    </rPh>
    <rPh sb="2" eb="4">
      <t xml:space="preserve">スイジュンノ </t>
    </rPh>
    <rPh sb="5" eb="6">
      <t xml:space="preserve">ワ </t>
    </rPh>
    <phoneticPr fontId="1"/>
  </si>
  <si>
    <t>第2水準の和</t>
    <rPh sb="0" eb="1">
      <t xml:space="preserve">ダイ </t>
    </rPh>
    <rPh sb="2" eb="4">
      <t xml:space="preserve">スイジュンノ </t>
    </rPh>
    <rPh sb="5" eb="6">
      <t xml:space="preserve">ワ </t>
    </rPh>
    <phoneticPr fontId="1"/>
  </si>
  <si>
    <t>列平方和</t>
    <rPh sb="0" eb="1">
      <t xml:space="preserve">レツ </t>
    </rPh>
    <rPh sb="1" eb="4">
      <t xml:space="preserve">ヘイホウワ </t>
    </rPh>
    <phoneticPr fontId="1"/>
  </si>
  <si>
    <t>主効果Aの平方和</t>
    <rPh sb="0" eb="3">
      <t xml:space="preserve">シュコウカ </t>
    </rPh>
    <rPh sb="5" eb="8">
      <t xml:space="preserve">ヘイホウワ </t>
    </rPh>
    <phoneticPr fontId="1"/>
  </si>
  <si>
    <t>主効果Bの平方和</t>
    <rPh sb="0" eb="3">
      <t xml:space="preserve">シュコウカ </t>
    </rPh>
    <rPh sb="5" eb="8">
      <t xml:space="preserve">ヘイホウワ </t>
    </rPh>
    <phoneticPr fontId="1"/>
  </si>
  <si>
    <t>主効果Cの平方和</t>
    <rPh sb="0" eb="3">
      <t xml:space="preserve">シュコウカ </t>
    </rPh>
    <rPh sb="5" eb="8">
      <t xml:space="preserve">ヘイホウワ </t>
    </rPh>
    <phoneticPr fontId="1"/>
  </si>
  <si>
    <t>主効果Dの平方和</t>
    <rPh sb="0" eb="3">
      <t xml:space="preserve">シュコウカ </t>
    </rPh>
    <rPh sb="5" eb="8">
      <t xml:space="preserve">ヘイホウワ </t>
    </rPh>
    <phoneticPr fontId="1"/>
  </si>
  <si>
    <t>交互作用A✕Bの平方和</t>
    <rPh sb="0" eb="2">
      <t xml:space="preserve">コウゴ </t>
    </rPh>
    <rPh sb="2" eb="4">
      <t xml:space="preserve">サヨウ </t>
    </rPh>
    <rPh sb="8" eb="11">
      <t xml:space="preserve">ヘイホウワ </t>
    </rPh>
    <phoneticPr fontId="1"/>
  </si>
  <si>
    <t>交互作用B✕Cの平方和</t>
    <rPh sb="0" eb="2">
      <t xml:space="preserve">コウゴ </t>
    </rPh>
    <rPh sb="2" eb="4">
      <t xml:space="preserve">サヨウ </t>
    </rPh>
    <rPh sb="8" eb="11">
      <t xml:space="preserve">ヘイホウワ </t>
    </rPh>
    <phoneticPr fontId="1"/>
  </si>
  <si>
    <t>誤差平方和</t>
    <rPh sb="0" eb="2">
      <t xml:space="preserve">ゴサ </t>
    </rPh>
    <rPh sb="2" eb="5">
      <t xml:space="preserve">ヘイホウワ </t>
    </rPh>
    <phoneticPr fontId="1"/>
  </si>
  <si>
    <t>総平方和</t>
    <rPh sb="1" eb="4">
      <t xml:space="preserve">ヘイホウワ </t>
    </rPh>
    <phoneticPr fontId="1"/>
  </si>
  <si>
    <t>二元表</t>
    <rPh sb="0" eb="3">
      <t xml:space="preserve">ニゲンヒョウ </t>
    </rPh>
    <phoneticPr fontId="1"/>
  </si>
  <si>
    <t>A1</t>
    <phoneticPr fontId="1"/>
  </si>
  <si>
    <t>A2</t>
  </si>
  <si>
    <t>B1</t>
    <phoneticPr fontId="1"/>
  </si>
  <si>
    <t>B2</t>
  </si>
  <si>
    <t>C1</t>
    <phoneticPr fontId="1"/>
  </si>
  <si>
    <t>C2</t>
  </si>
  <si>
    <t>D1</t>
    <phoneticPr fontId="1"/>
  </si>
  <si>
    <t>D2</t>
  </si>
  <si>
    <t>点推定</t>
    <rPh sb="0" eb="1">
      <t xml:space="preserve">テン </t>
    </rPh>
    <rPh sb="1" eb="3">
      <t xml:space="preserve">スイテイ </t>
    </rPh>
    <phoneticPr fontId="1"/>
  </si>
  <si>
    <t>ｔ分布5%点</t>
    <rPh sb="1" eb="3">
      <t xml:space="preserve">ブンプ </t>
    </rPh>
    <rPh sb="5" eb="6">
      <t xml:space="preserve">テン </t>
    </rPh>
    <phoneticPr fontId="1"/>
  </si>
  <si>
    <t>有効反復数の逆数</t>
    <rPh sb="0" eb="2">
      <t xml:space="preserve">ユウコウ </t>
    </rPh>
    <rPh sb="2" eb="5">
      <t xml:space="preserve">ハンプクスウ </t>
    </rPh>
    <rPh sb="6" eb="8">
      <t xml:space="preserve">ギャクスウ </t>
    </rPh>
    <phoneticPr fontId="1"/>
  </si>
  <si>
    <t>信頼区間の下限</t>
    <rPh sb="0" eb="4">
      <t xml:space="preserve">シンライクカンノ </t>
    </rPh>
    <rPh sb="5" eb="7">
      <t xml:space="preserve">カゲン </t>
    </rPh>
    <phoneticPr fontId="1"/>
  </si>
  <si>
    <t>信頼区間の上限</t>
    <rPh sb="0" eb="4">
      <t xml:space="preserve">シンライクカンノ </t>
    </rPh>
    <rPh sb="5" eb="6">
      <t xml:space="preserve">ウエ </t>
    </rPh>
    <rPh sb="6" eb="7">
      <t xml:space="preserve">カゲン </t>
    </rPh>
    <phoneticPr fontId="1"/>
  </si>
  <si>
    <t>信頼区間の幅</t>
    <rPh sb="0" eb="4">
      <t xml:space="preserve">シンライクカンノ </t>
    </rPh>
    <rPh sb="5" eb="6">
      <t xml:space="preserve">ハバ </t>
    </rPh>
    <phoneticPr fontId="1"/>
  </si>
  <si>
    <t>点予測</t>
    <rPh sb="0" eb="1">
      <t xml:space="preserve">テン </t>
    </rPh>
    <rPh sb="1" eb="3">
      <t xml:space="preserve">ヨソク </t>
    </rPh>
    <phoneticPr fontId="1"/>
  </si>
  <si>
    <t>予測区間の幅</t>
    <rPh sb="0" eb="2">
      <t xml:space="preserve">ヨソク </t>
    </rPh>
    <rPh sb="2" eb="4">
      <t xml:space="preserve">シンライクカンノ </t>
    </rPh>
    <rPh sb="5" eb="6">
      <t xml:space="preserve">ハバ </t>
    </rPh>
    <phoneticPr fontId="1"/>
  </si>
  <si>
    <t>予測区間の下限</t>
    <rPh sb="0" eb="2">
      <t xml:space="preserve">シンライクカンノ </t>
    </rPh>
    <rPh sb="3" eb="5">
      <t xml:space="preserve">カゲン </t>
    </rPh>
    <phoneticPr fontId="1"/>
  </si>
  <si>
    <t>予測区間の上限</t>
    <rPh sb="0" eb="2">
      <t xml:space="preserve">シンライクカンノ </t>
    </rPh>
    <rPh sb="3" eb="4">
      <t xml:space="preserve">ウエ </t>
    </rPh>
    <rPh sb="4" eb="5">
      <t xml:space="preserve">カゲン </t>
    </rPh>
    <phoneticPr fontId="1"/>
  </si>
  <si>
    <t>S</t>
    <phoneticPr fontId="1"/>
  </si>
  <si>
    <t>φ</t>
    <phoneticPr fontId="1"/>
  </si>
  <si>
    <t>V</t>
    <phoneticPr fontId="1"/>
  </si>
  <si>
    <t>F</t>
    <phoneticPr fontId="1"/>
  </si>
  <si>
    <t>ｐ値</t>
    <rPh sb="1" eb="2">
      <t xml:space="preserve">チ </t>
    </rPh>
    <phoneticPr fontId="1"/>
  </si>
  <si>
    <t>F０</t>
    <phoneticPr fontId="1"/>
  </si>
  <si>
    <t>プーリング後</t>
    <rPh sb="5" eb="6">
      <t xml:space="preserve">ゴ </t>
    </rPh>
    <phoneticPr fontId="1"/>
  </si>
  <si>
    <t>プーリング前</t>
    <rPh sb="5" eb="6">
      <t xml:space="preserve">マエ </t>
    </rPh>
    <phoneticPr fontId="1"/>
  </si>
  <si>
    <t>B✕D</t>
    <phoneticPr fontId="1"/>
  </si>
  <si>
    <t>データ</t>
    <phoneticPr fontId="1"/>
  </si>
  <si>
    <t>第3水準の和</t>
    <rPh sb="0" eb="1">
      <t xml:space="preserve">ダイ </t>
    </rPh>
    <rPh sb="2" eb="4">
      <t xml:space="preserve">スイジュンノ </t>
    </rPh>
    <rPh sb="5" eb="6">
      <t xml:space="preserve">ワ </t>
    </rPh>
    <phoneticPr fontId="1"/>
  </si>
  <si>
    <t>交互作用B✕Dの平方和</t>
    <rPh sb="0" eb="2">
      <t xml:space="preserve">コウゴ </t>
    </rPh>
    <rPh sb="2" eb="4">
      <t xml:space="preserve">サヨウ </t>
    </rPh>
    <rPh sb="8" eb="11">
      <t xml:space="preserve">ヘイホウワ </t>
    </rPh>
    <phoneticPr fontId="1"/>
  </si>
  <si>
    <t>B3</t>
  </si>
  <si>
    <t>C3</t>
  </si>
  <si>
    <t>A3</t>
  </si>
  <si>
    <t>最適水準</t>
    <rPh sb="0" eb="2">
      <t xml:space="preserve">サイテキ </t>
    </rPh>
    <rPh sb="2" eb="4">
      <t xml:space="preserve">スイジュン </t>
    </rPh>
    <phoneticPr fontId="1"/>
  </si>
  <si>
    <t>A2B2C２</t>
    <phoneticPr fontId="1"/>
  </si>
  <si>
    <t>合計</t>
    <phoneticPr fontId="1"/>
  </si>
  <si>
    <t>A1B2C2D2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</si>
</sst>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0.00_ "/>
    <numFmt numFmtId="178" formatCode="0.0"/>
  </numFmts>
  <fonts count="3">
    <font>
      <sz val="11"/>
      <color theme="1"/>
      <name val="MS-PGothic"/>
      <family val="2"/>
      <charset val="128"/>
    </font>
    <font>
      <sz val="6"/>
      <name val="MS-PGothic"/>
      <family val="2"/>
      <charset val="128"/>
    </font>
    <font>
      <sz val="11"/>
      <color rgb="FF000000"/>
      <name val="MS-PGothic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" fontId="0" fillId="0" borderId="1" xfId="0" applyNumberFormat="1" applyBorder="1">
      <alignment vertical="center"/>
    </xf>
    <xf numFmtId="0" fontId="2" fillId="0" borderId="0" xfId="0" applyFont="1" applyAlignment="1">
      <alignment horizontal="right" vertical="center"/>
    </xf>
    <xf numFmtId="178" fontId="0" fillId="0" borderId="1" xfId="0" applyNumberFormat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0" xfId="0" applyFill="1" applyAlignment="1">
      <alignment horizontal="right" vertical="center"/>
    </xf>
    <xf numFmtId="176" fontId="0" fillId="3" borderId="1" xfId="0" applyNumberFormat="1" applyFill="1" applyBorder="1">
      <alignment vertical="center"/>
    </xf>
    <xf numFmtId="2" fontId="0" fillId="3" borderId="1" xfId="0" applyNumberFormat="1" applyFill="1" applyBorder="1">
      <alignment vertical="center"/>
    </xf>
    <xf numFmtId="177" fontId="0" fillId="3" borderId="1" xfId="0" applyNumberFormat="1" applyFill="1" applyBorder="1">
      <alignment vertical="center"/>
    </xf>
    <xf numFmtId="0" fontId="0" fillId="3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9CF33-1CC3-E74D-A149-225449B4135B}">
  <dimension ref="A1:S41"/>
  <sheetViews>
    <sheetView tabSelected="1" zoomScale="120" zoomScaleNormal="120" workbookViewId="0">
      <selection activeCell="B27" sqref="B27:J37"/>
    </sheetView>
  </sheetViews>
  <sheetFormatPr baseColWidth="10" defaultRowHeight="14"/>
  <cols>
    <col min="1" max="1" width="3" customWidth="1"/>
    <col min="2" max="2" width="21.83203125" bestFit="1" customWidth="1"/>
    <col min="6" max="6" width="15.83203125" customWidth="1"/>
    <col min="7" max="7" width="9.6640625" customWidth="1"/>
    <col min="9" max="9" width="15" bestFit="1" customWidth="1"/>
    <col min="10" max="10" width="7" bestFit="1" customWidth="1"/>
    <col min="11" max="11" width="5" customWidth="1"/>
    <col min="12" max="12" width="21.83203125" bestFit="1" customWidth="1"/>
  </cols>
  <sheetData>
    <row r="1" spans="1:18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8">
      <c r="A2" s="18"/>
      <c r="B2" s="17" t="s">
        <v>0</v>
      </c>
      <c r="C2" s="17" t="s">
        <v>2</v>
      </c>
      <c r="D2" s="17" t="s">
        <v>1</v>
      </c>
      <c r="E2" s="17" t="s">
        <v>3</v>
      </c>
      <c r="F2" s="17" t="s">
        <v>4</v>
      </c>
      <c r="G2" s="17" t="s">
        <v>5</v>
      </c>
      <c r="H2" s="17"/>
      <c r="I2" s="17" t="s">
        <v>6</v>
      </c>
      <c r="J2" s="17" t="s">
        <v>46</v>
      </c>
      <c r="K2" s="18"/>
      <c r="L2" s="18"/>
      <c r="M2" s="18"/>
      <c r="N2" s="18"/>
      <c r="O2" s="18"/>
      <c r="P2" s="18"/>
      <c r="Q2" s="18"/>
    </row>
    <row r="3" spans="1:18">
      <c r="A3" s="18"/>
      <c r="B3" s="17">
        <v>1</v>
      </c>
      <c r="C3" s="17">
        <v>1</v>
      </c>
      <c r="D3" s="17">
        <v>1</v>
      </c>
      <c r="E3" s="17">
        <v>1</v>
      </c>
      <c r="F3" s="17">
        <v>1</v>
      </c>
      <c r="G3" s="17">
        <v>1</v>
      </c>
      <c r="H3" s="17">
        <v>1</v>
      </c>
      <c r="I3" s="17">
        <v>1</v>
      </c>
      <c r="J3" s="17">
        <v>8</v>
      </c>
      <c r="K3" s="18"/>
      <c r="L3" s="18"/>
      <c r="M3" s="18"/>
      <c r="N3" s="18"/>
      <c r="O3" s="18"/>
      <c r="P3" s="18"/>
      <c r="Q3" s="18"/>
    </row>
    <row r="4" spans="1:18">
      <c r="A4" s="18"/>
      <c r="B4" s="17">
        <v>2</v>
      </c>
      <c r="C4" s="17">
        <v>1</v>
      </c>
      <c r="D4" s="17">
        <v>1</v>
      </c>
      <c r="E4" s="17">
        <v>1</v>
      </c>
      <c r="F4" s="17">
        <v>2</v>
      </c>
      <c r="G4" s="17">
        <v>2</v>
      </c>
      <c r="H4" s="17">
        <v>2</v>
      </c>
      <c r="I4" s="17">
        <v>2</v>
      </c>
      <c r="J4" s="17">
        <v>18</v>
      </c>
      <c r="K4" s="18"/>
      <c r="L4" s="18"/>
      <c r="M4" s="18"/>
      <c r="N4" s="18"/>
      <c r="O4" s="18"/>
      <c r="P4" s="18"/>
      <c r="Q4" s="18"/>
    </row>
    <row r="5" spans="1:18">
      <c r="A5" s="18"/>
      <c r="B5" s="17">
        <v>3</v>
      </c>
      <c r="C5" s="17">
        <v>1</v>
      </c>
      <c r="D5" s="17">
        <v>2</v>
      </c>
      <c r="E5" s="17">
        <v>2</v>
      </c>
      <c r="F5" s="17">
        <v>1</v>
      </c>
      <c r="G5" s="17">
        <v>1</v>
      </c>
      <c r="H5" s="17">
        <v>2</v>
      </c>
      <c r="I5" s="17">
        <v>2</v>
      </c>
      <c r="J5" s="17">
        <v>20</v>
      </c>
      <c r="K5" s="18"/>
      <c r="L5" s="18"/>
      <c r="M5" s="18"/>
      <c r="N5" s="18"/>
      <c r="O5" s="18"/>
      <c r="P5" s="18"/>
      <c r="Q5" s="18"/>
    </row>
    <row r="6" spans="1:18">
      <c r="A6" s="18"/>
      <c r="B6" s="17">
        <v>4</v>
      </c>
      <c r="C6" s="17">
        <v>1</v>
      </c>
      <c r="D6" s="17">
        <v>2</v>
      </c>
      <c r="E6" s="17">
        <v>2</v>
      </c>
      <c r="F6" s="17">
        <v>2</v>
      </c>
      <c r="G6" s="17">
        <v>2</v>
      </c>
      <c r="H6" s="17">
        <v>1</v>
      </c>
      <c r="I6" s="17">
        <v>1</v>
      </c>
      <c r="J6" s="17">
        <v>14</v>
      </c>
      <c r="K6" s="18"/>
      <c r="L6" s="18"/>
      <c r="M6" s="18"/>
      <c r="N6" s="18"/>
      <c r="O6" s="18"/>
      <c r="P6" s="18"/>
      <c r="Q6" s="18"/>
    </row>
    <row r="7" spans="1:18">
      <c r="A7" s="18"/>
      <c r="B7" s="17">
        <v>5</v>
      </c>
      <c r="C7" s="17">
        <v>2</v>
      </c>
      <c r="D7" s="17">
        <v>1</v>
      </c>
      <c r="E7" s="17">
        <v>2</v>
      </c>
      <c r="F7" s="17">
        <v>1</v>
      </c>
      <c r="G7" s="17">
        <v>2</v>
      </c>
      <c r="H7" s="17">
        <v>1</v>
      </c>
      <c r="I7" s="17">
        <v>2</v>
      </c>
      <c r="J7" s="17">
        <v>28</v>
      </c>
      <c r="K7" s="18"/>
      <c r="L7" s="18"/>
      <c r="M7" s="18"/>
      <c r="N7" s="18"/>
      <c r="O7" s="18"/>
      <c r="P7" s="18"/>
      <c r="Q7" s="18"/>
    </row>
    <row r="8" spans="1:18">
      <c r="A8" s="18"/>
      <c r="B8" s="17">
        <v>6</v>
      </c>
      <c r="C8" s="17">
        <v>2</v>
      </c>
      <c r="D8" s="17">
        <v>1</v>
      </c>
      <c r="E8" s="17">
        <v>2</v>
      </c>
      <c r="F8" s="17">
        <v>2</v>
      </c>
      <c r="G8" s="17">
        <v>1</v>
      </c>
      <c r="H8" s="17">
        <v>2</v>
      </c>
      <c r="I8" s="17">
        <v>1</v>
      </c>
      <c r="J8" s="17">
        <v>25</v>
      </c>
      <c r="K8" s="18"/>
      <c r="L8" s="18"/>
      <c r="M8" s="18"/>
      <c r="N8" s="18"/>
      <c r="O8" s="18"/>
      <c r="P8" s="18"/>
      <c r="Q8" s="18"/>
    </row>
    <row r="9" spans="1:18">
      <c r="A9" s="18"/>
      <c r="B9" s="17">
        <v>7</v>
      </c>
      <c r="C9" s="17">
        <v>2</v>
      </c>
      <c r="D9" s="17">
        <v>2</v>
      </c>
      <c r="E9" s="17">
        <v>1</v>
      </c>
      <c r="F9" s="17">
        <v>1</v>
      </c>
      <c r="G9" s="17">
        <v>2</v>
      </c>
      <c r="H9" s="17">
        <v>2</v>
      </c>
      <c r="I9" s="17">
        <v>1</v>
      </c>
      <c r="J9" s="17">
        <v>12</v>
      </c>
      <c r="K9" s="18"/>
      <c r="L9" s="18"/>
      <c r="M9" s="18"/>
      <c r="N9" s="18"/>
      <c r="O9" s="18"/>
      <c r="P9" s="18"/>
      <c r="Q9" s="18"/>
    </row>
    <row r="10" spans="1:18">
      <c r="A10" s="18"/>
      <c r="B10" s="17">
        <v>8</v>
      </c>
      <c r="C10" s="17">
        <v>2</v>
      </c>
      <c r="D10" s="17">
        <v>2</v>
      </c>
      <c r="E10" s="17">
        <v>1</v>
      </c>
      <c r="F10" s="17">
        <v>2</v>
      </c>
      <c r="G10" s="17">
        <v>1</v>
      </c>
      <c r="H10" s="17">
        <v>1</v>
      </c>
      <c r="I10" s="17">
        <v>2</v>
      </c>
      <c r="J10" s="19">
        <v>21</v>
      </c>
      <c r="K10" s="18"/>
      <c r="L10" s="18"/>
      <c r="M10" s="18"/>
      <c r="N10" s="18"/>
      <c r="O10" s="18"/>
      <c r="P10" s="18"/>
      <c r="Q10" s="18"/>
    </row>
    <row r="11" spans="1:18">
      <c r="A11" s="18"/>
      <c r="B11" s="20"/>
      <c r="C11" s="20"/>
      <c r="D11" s="20"/>
      <c r="E11" s="20"/>
      <c r="F11" s="20"/>
      <c r="G11" s="20"/>
      <c r="H11" s="20"/>
      <c r="I11" s="24" t="s">
        <v>54</v>
      </c>
      <c r="J11" s="17">
        <f>SUM(J3:J10)</f>
        <v>146</v>
      </c>
      <c r="K11" s="18"/>
      <c r="L11" s="18"/>
      <c r="M11" s="18"/>
      <c r="N11" s="18"/>
      <c r="O11" s="18"/>
      <c r="P11" s="18"/>
      <c r="Q11" s="18"/>
    </row>
    <row r="12" spans="1:18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18"/>
      <c r="L12" s="18"/>
      <c r="M12" s="18"/>
      <c r="N12" s="18"/>
      <c r="O12" s="18"/>
      <c r="P12" s="18"/>
      <c r="Q12" s="18"/>
    </row>
    <row r="13" spans="1:18">
      <c r="A13" s="18"/>
      <c r="B13" s="21" t="s">
        <v>7</v>
      </c>
      <c r="C13" s="22">
        <f t="shared" ref="C13:I13" si="0">SUMIF(C3:C10,"=1",$J$3:$J$10)</f>
        <v>60</v>
      </c>
      <c r="D13" s="22">
        <f t="shared" si="0"/>
        <v>79</v>
      </c>
      <c r="E13" s="22">
        <f t="shared" si="0"/>
        <v>59</v>
      </c>
      <c r="F13" s="22">
        <f t="shared" si="0"/>
        <v>68</v>
      </c>
      <c r="G13" s="22">
        <f t="shared" si="0"/>
        <v>74</v>
      </c>
      <c r="H13" s="22">
        <f t="shared" si="0"/>
        <v>71</v>
      </c>
      <c r="I13" s="22">
        <f t="shared" si="0"/>
        <v>59</v>
      </c>
      <c r="J13" s="18"/>
      <c r="K13" s="18"/>
      <c r="L13" s="18"/>
      <c r="M13" s="18"/>
      <c r="N13" s="18"/>
      <c r="O13" s="18"/>
      <c r="P13" s="18"/>
      <c r="Q13" s="18"/>
    </row>
    <row r="14" spans="1:18">
      <c r="A14" s="18"/>
      <c r="B14" s="21" t="s">
        <v>8</v>
      </c>
      <c r="C14" s="22">
        <f t="shared" ref="C14:I14" si="1">SUMIF(C3:C10,"=2",$J$3:$J$10)</f>
        <v>86</v>
      </c>
      <c r="D14" s="22">
        <f t="shared" si="1"/>
        <v>67</v>
      </c>
      <c r="E14" s="22">
        <f t="shared" si="1"/>
        <v>87</v>
      </c>
      <c r="F14" s="22">
        <f t="shared" si="1"/>
        <v>78</v>
      </c>
      <c r="G14" s="22">
        <f t="shared" si="1"/>
        <v>72</v>
      </c>
      <c r="H14" s="22">
        <f t="shared" si="1"/>
        <v>75</v>
      </c>
      <c r="I14" s="22">
        <f t="shared" si="1"/>
        <v>87</v>
      </c>
      <c r="J14" s="18"/>
      <c r="K14" s="18"/>
      <c r="L14" s="18"/>
      <c r="M14" s="18"/>
      <c r="N14" s="18"/>
      <c r="O14" s="18"/>
      <c r="P14" s="18"/>
      <c r="Q14" s="18"/>
    </row>
    <row r="15" spans="1:18">
      <c r="A15" s="18"/>
      <c r="B15" s="21" t="s">
        <v>9</v>
      </c>
      <c r="C15" s="22">
        <f>(C13-C14)^2/8</f>
        <v>84.5</v>
      </c>
      <c r="D15" s="22">
        <f t="shared" ref="D15:I15" si="2">(D13-D14)^2/8</f>
        <v>18</v>
      </c>
      <c r="E15" s="22">
        <f t="shared" si="2"/>
        <v>98</v>
      </c>
      <c r="F15" s="22">
        <f t="shared" si="2"/>
        <v>12.5</v>
      </c>
      <c r="G15" s="22">
        <f t="shared" si="2"/>
        <v>0.5</v>
      </c>
      <c r="H15" s="22">
        <f t="shared" si="2"/>
        <v>2</v>
      </c>
      <c r="I15" s="23">
        <f t="shared" si="2"/>
        <v>98</v>
      </c>
      <c r="J15" s="22">
        <f>SUM(C15:I15)</f>
        <v>313.5</v>
      </c>
      <c r="K15" s="18"/>
      <c r="L15" s="18"/>
      <c r="M15" s="18"/>
      <c r="N15" s="18"/>
      <c r="O15" s="18"/>
      <c r="P15" s="18"/>
      <c r="Q15" s="18"/>
    </row>
    <row r="16" spans="1:18">
      <c r="A16" s="18"/>
      <c r="B16" s="18"/>
      <c r="C16" s="20"/>
      <c r="D16" s="20"/>
      <c r="E16" s="20"/>
      <c r="F16" s="20"/>
      <c r="G16" s="20"/>
      <c r="H16" s="20"/>
      <c r="I16" s="20"/>
      <c r="J16" s="18"/>
      <c r="K16" s="18"/>
      <c r="L16" s="18"/>
      <c r="M16" s="18"/>
      <c r="N16" s="18"/>
      <c r="O16" s="18"/>
      <c r="P16" s="18"/>
      <c r="Q16" s="18"/>
      <c r="R16" s="18"/>
    </row>
    <row r="17" spans="1:19">
      <c r="A17" s="18"/>
      <c r="B17" s="24" t="s">
        <v>44</v>
      </c>
      <c r="C17" s="17" t="s">
        <v>37</v>
      </c>
      <c r="D17" s="17" t="s">
        <v>38</v>
      </c>
      <c r="E17" s="17" t="s">
        <v>39</v>
      </c>
      <c r="F17" s="17" t="s">
        <v>42</v>
      </c>
      <c r="G17" s="17" t="s">
        <v>41</v>
      </c>
      <c r="H17" s="17" t="s">
        <v>40</v>
      </c>
      <c r="I17" s="18"/>
      <c r="J17" s="18"/>
      <c r="K17" s="18"/>
      <c r="L17" s="28" t="s">
        <v>43</v>
      </c>
      <c r="M17" s="17" t="s">
        <v>37</v>
      </c>
      <c r="N17" s="17" t="s">
        <v>38</v>
      </c>
      <c r="O17" s="17" t="s">
        <v>39</v>
      </c>
      <c r="P17" s="17" t="s">
        <v>42</v>
      </c>
      <c r="Q17" s="17" t="s">
        <v>41</v>
      </c>
      <c r="R17" s="17" t="s">
        <v>40</v>
      </c>
      <c r="S17" s="18"/>
    </row>
    <row r="18" spans="1:19">
      <c r="A18" s="18"/>
      <c r="B18" s="21" t="s">
        <v>10</v>
      </c>
      <c r="C18" s="22">
        <f>D15</f>
        <v>18</v>
      </c>
      <c r="D18" s="22">
        <v>1</v>
      </c>
      <c r="E18" s="22">
        <f>C18/D18</f>
        <v>18</v>
      </c>
      <c r="F18" s="22">
        <f t="shared" ref="F18:F23" si="3">E18/E$24</f>
        <v>9</v>
      </c>
      <c r="G18" s="25">
        <f t="shared" ref="G18:G23" si="4">_xlfn.F.DIST.RT(F18,D18,D$24)</f>
        <v>0.2048327646991335</v>
      </c>
      <c r="H18" s="26">
        <f t="shared" ref="H18:H23" si="5">_xlfn.F.INV.RT(0.05,D18,D$24)</f>
        <v>161.44763879758855</v>
      </c>
      <c r="I18" s="18"/>
      <c r="J18" s="18"/>
      <c r="K18" s="18"/>
      <c r="L18" s="21" t="s">
        <v>10</v>
      </c>
      <c r="M18" s="22">
        <f>C18</f>
        <v>18</v>
      </c>
      <c r="N18" s="22">
        <f>D18</f>
        <v>1</v>
      </c>
      <c r="O18" s="22">
        <f t="shared" ref="O18:O23" si="6">M18/N18</f>
        <v>18</v>
      </c>
      <c r="P18" s="22">
        <f>O18/O$23</f>
        <v>14.4</v>
      </c>
      <c r="Q18" s="25">
        <f>_xlfn.F.DIST.RT(P18,N18,N$23)</f>
        <v>6.2957428668363624E-2</v>
      </c>
      <c r="R18" s="26">
        <f>_xlfn.F.INV.RT(0.05,N18,N$23)</f>
        <v>18.512820512820511</v>
      </c>
      <c r="S18" s="18"/>
    </row>
    <row r="19" spans="1:19">
      <c r="A19" s="18"/>
      <c r="B19" s="21" t="s">
        <v>11</v>
      </c>
      <c r="C19" s="22">
        <f>C15</f>
        <v>84.5</v>
      </c>
      <c r="D19" s="22">
        <v>1</v>
      </c>
      <c r="E19" s="22">
        <f t="shared" ref="E19:E24" si="7">C19/D19</f>
        <v>84.5</v>
      </c>
      <c r="F19" s="22">
        <f t="shared" si="3"/>
        <v>42.25</v>
      </c>
      <c r="G19" s="25">
        <f t="shared" si="4"/>
        <v>9.7179580695057874E-2</v>
      </c>
      <c r="H19" s="26">
        <f t="shared" si="5"/>
        <v>161.44763879758855</v>
      </c>
      <c r="I19" s="18"/>
      <c r="J19" s="18"/>
      <c r="K19" s="18"/>
      <c r="L19" s="21" t="s">
        <v>11</v>
      </c>
      <c r="M19" s="22">
        <f t="shared" ref="M19:M22" si="8">C19</f>
        <v>84.5</v>
      </c>
      <c r="N19" s="22">
        <f>D19</f>
        <v>1</v>
      </c>
      <c r="O19" s="22">
        <f t="shared" si="6"/>
        <v>84.5</v>
      </c>
      <c r="P19" s="22">
        <f t="shared" ref="P19:P22" si="9">O19/O$23</f>
        <v>67.599999999999994</v>
      </c>
      <c r="Q19" s="25">
        <f t="shared" ref="Q19:Q22" si="10">_xlfn.F.DIST.RT(P19,N19,N$23)</f>
        <v>1.4472543347425579E-2</v>
      </c>
      <c r="R19" s="26">
        <f t="shared" ref="R19:R22" si="11">_xlfn.F.INV.RT(0.05,N19,N$23)</f>
        <v>18.512820512820511</v>
      </c>
      <c r="S19" s="18"/>
    </row>
    <row r="20" spans="1:19">
      <c r="A20" s="18"/>
      <c r="B20" s="21" t="s">
        <v>12</v>
      </c>
      <c r="C20" s="22">
        <f>F15</f>
        <v>12.5</v>
      </c>
      <c r="D20" s="22">
        <v>1</v>
      </c>
      <c r="E20" s="22">
        <f t="shared" si="7"/>
        <v>12.5</v>
      </c>
      <c r="F20" s="22">
        <f t="shared" si="3"/>
        <v>6.25</v>
      </c>
      <c r="G20" s="25">
        <f t="shared" si="4"/>
        <v>0.24223788318168682</v>
      </c>
      <c r="H20" s="26">
        <f t="shared" si="5"/>
        <v>161.44763879758855</v>
      </c>
      <c r="I20" s="18"/>
      <c r="J20" s="18"/>
      <c r="K20" s="18"/>
      <c r="L20" s="21" t="s">
        <v>12</v>
      </c>
      <c r="M20" s="22">
        <f t="shared" si="8"/>
        <v>12.5</v>
      </c>
      <c r="N20" s="22">
        <f>D20</f>
        <v>1</v>
      </c>
      <c r="O20" s="22">
        <f t="shared" si="6"/>
        <v>12.5</v>
      </c>
      <c r="P20" s="22">
        <f t="shared" si="9"/>
        <v>10</v>
      </c>
      <c r="Q20" s="25">
        <f t="shared" si="10"/>
        <v>8.7129070824723098E-2</v>
      </c>
      <c r="R20" s="26">
        <f t="shared" si="11"/>
        <v>18.512820512820511</v>
      </c>
      <c r="S20" s="18"/>
    </row>
    <row r="21" spans="1:19">
      <c r="A21" s="18"/>
      <c r="B21" s="21" t="s">
        <v>13</v>
      </c>
      <c r="C21" s="22">
        <f>I15</f>
        <v>98</v>
      </c>
      <c r="D21" s="22">
        <v>1</v>
      </c>
      <c r="E21" s="22">
        <f t="shared" si="7"/>
        <v>98</v>
      </c>
      <c r="F21" s="22">
        <f t="shared" si="3"/>
        <v>49</v>
      </c>
      <c r="G21" s="25">
        <f t="shared" si="4"/>
        <v>9.0334470601733094E-2</v>
      </c>
      <c r="H21" s="26">
        <f t="shared" si="5"/>
        <v>161.44763879758855</v>
      </c>
      <c r="I21" s="18"/>
      <c r="J21" s="18"/>
      <c r="K21" s="18"/>
      <c r="L21" s="21" t="s">
        <v>13</v>
      </c>
      <c r="M21" s="22">
        <f t="shared" si="8"/>
        <v>98</v>
      </c>
      <c r="N21" s="22">
        <f>D21</f>
        <v>1</v>
      </c>
      <c r="O21" s="22">
        <f t="shared" si="6"/>
        <v>98</v>
      </c>
      <c r="P21" s="22">
        <f t="shared" si="9"/>
        <v>78.400000000000006</v>
      </c>
      <c r="Q21" s="25">
        <f t="shared" si="10"/>
        <v>1.2516137797962422E-2</v>
      </c>
      <c r="R21" s="26">
        <f t="shared" si="11"/>
        <v>18.512820512820511</v>
      </c>
      <c r="S21" s="18"/>
    </row>
    <row r="22" spans="1:19">
      <c r="A22" s="18"/>
      <c r="B22" s="21" t="s">
        <v>14</v>
      </c>
      <c r="C22" s="22">
        <f>E15</f>
        <v>98</v>
      </c>
      <c r="D22" s="22">
        <v>1</v>
      </c>
      <c r="E22" s="22">
        <f t="shared" si="7"/>
        <v>98</v>
      </c>
      <c r="F22" s="22">
        <f t="shared" si="3"/>
        <v>49</v>
      </c>
      <c r="G22" s="25">
        <f t="shared" si="4"/>
        <v>9.0334470601733094E-2</v>
      </c>
      <c r="H22" s="26">
        <f t="shared" si="5"/>
        <v>161.44763879758855</v>
      </c>
      <c r="I22" s="18"/>
      <c r="J22" s="18"/>
      <c r="K22" s="18"/>
      <c r="L22" s="21" t="s">
        <v>14</v>
      </c>
      <c r="M22" s="22">
        <f t="shared" si="8"/>
        <v>98</v>
      </c>
      <c r="N22" s="22">
        <f>D22</f>
        <v>1</v>
      </c>
      <c r="O22" s="22">
        <f t="shared" si="6"/>
        <v>98</v>
      </c>
      <c r="P22" s="22">
        <f t="shared" si="9"/>
        <v>78.400000000000006</v>
      </c>
      <c r="Q22" s="25">
        <f t="shared" si="10"/>
        <v>1.2516137797962422E-2</v>
      </c>
      <c r="R22" s="26">
        <f t="shared" si="11"/>
        <v>18.512820512820511</v>
      </c>
      <c r="S22" s="18"/>
    </row>
    <row r="23" spans="1:19">
      <c r="A23" s="18"/>
      <c r="B23" s="21" t="s">
        <v>15</v>
      </c>
      <c r="C23" s="22">
        <f>G15</f>
        <v>0.5</v>
      </c>
      <c r="D23" s="22">
        <v>1</v>
      </c>
      <c r="E23" s="22">
        <f t="shared" si="7"/>
        <v>0.5</v>
      </c>
      <c r="F23" s="22">
        <f t="shared" si="3"/>
        <v>0.25</v>
      </c>
      <c r="G23" s="25">
        <f t="shared" si="4"/>
        <v>0.70483276469913347</v>
      </c>
      <c r="H23" s="26">
        <f t="shared" si="5"/>
        <v>161.44763879758855</v>
      </c>
      <c r="I23" s="18"/>
      <c r="J23" s="18"/>
      <c r="K23" s="18"/>
      <c r="L23" s="21" t="s">
        <v>16</v>
      </c>
      <c r="M23" s="22">
        <f>C23+C24</f>
        <v>2.5</v>
      </c>
      <c r="N23" s="22">
        <f>D23+D24</f>
        <v>2</v>
      </c>
      <c r="O23" s="22">
        <f t="shared" si="6"/>
        <v>1.25</v>
      </c>
      <c r="P23" s="22"/>
      <c r="Q23" s="22"/>
      <c r="R23" s="22"/>
      <c r="S23" s="18"/>
    </row>
    <row r="24" spans="1:19">
      <c r="A24" s="18"/>
      <c r="B24" s="21" t="s">
        <v>16</v>
      </c>
      <c r="C24" s="22">
        <f>H15</f>
        <v>2</v>
      </c>
      <c r="D24" s="22">
        <v>1</v>
      </c>
      <c r="E24" s="22">
        <f t="shared" si="7"/>
        <v>2</v>
      </c>
      <c r="F24" s="22"/>
      <c r="G24" s="22"/>
      <c r="H24" s="22"/>
      <c r="I24" s="18"/>
      <c r="J24" s="18"/>
      <c r="K24" s="18"/>
      <c r="L24" s="21" t="s">
        <v>17</v>
      </c>
      <c r="M24" s="22">
        <f>C25</f>
        <v>313.5</v>
      </c>
      <c r="N24" s="22">
        <f>D25</f>
        <v>7</v>
      </c>
      <c r="O24" s="22"/>
      <c r="P24" s="22"/>
      <c r="Q24" s="22"/>
      <c r="R24" s="22"/>
      <c r="S24" s="18"/>
    </row>
    <row r="25" spans="1:19">
      <c r="A25" s="18"/>
      <c r="B25" s="21" t="s">
        <v>17</v>
      </c>
      <c r="C25" s="22">
        <f>SUM(C18:C24)</f>
        <v>313.5</v>
      </c>
      <c r="D25" s="22">
        <v>7</v>
      </c>
      <c r="E25" s="22"/>
      <c r="F25" s="22"/>
      <c r="G25" s="22"/>
      <c r="H25" s="22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9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>
      <c r="A27" s="18"/>
      <c r="B27" s="21" t="s">
        <v>18</v>
      </c>
      <c r="C27" s="17" t="s">
        <v>21</v>
      </c>
      <c r="D27" s="4" t="s">
        <v>22</v>
      </c>
      <c r="E27" s="18"/>
      <c r="F27" s="21" t="s">
        <v>27</v>
      </c>
      <c r="G27" s="22">
        <f>D28/2+F14/4+I14/4-2*J11/8</f>
        <v>31.25</v>
      </c>
      <c r="H27" s="18"/>
      <c r="I27" s="21" t="s">
        <v>33</v>
      </c>
      <c r="J27" s="22">
        <f>G27</f>
        <v>31.25</v>
      </c>
      <c r="K27" s="18"/>
    </row>
    <row r="28" spans="1:19">
      <c r="A28" s="18"/>
      <c r="B28" s="21" t="s">
        <v>19</v>
      </c>
      <c r="C28" s="22">
        <f>SUMIFS(J3:J10,D3:D10,"=1",C3:C10,"=1")</f>
        <v>26</v>
      </c>
      <c r="D28" s="10">
        <f>SUMIFS(J3:J10,D3:D10,"=1",C3:C10,"=2")</f>
        <v>53</v>
      </c>
      <c r="E28" s="18"/>
      <c r="F28" s="21" t="s">
        <v>28</v>
      </c>
      <c r="G28" s="26">
        <f>_xlfn.T.INV.2T(0.05,N23)</f>
        <v>4.3026527297494637</v>
      </c>
      <c r="H28" s="18"/>
      <c r="I28" s="21"/>
      <c r="J28" s="22"/>
      <c r="K28" s="18"/>
    </row>
    <row r="29" spans="1:19">
      <c r="A29" s="18"/>
      <c r="B29" s="21" t="s">
        <v>20</v>
      </c>
      <c r="C29" s="22">
        <f>SUMIFS(J3:J10,D3:D10,"=2",C3:C10,"=1")</f>
        <v>34</v>
      </c>
      <c r="D29" s="22">
        <f>SUMIFS(J3:J10,D3:D10,"=2",C3:C10,"=2")</f>
        <v>33</v>
      </c>
      <c r="E29" s="18"/>
      <c r="F29" s="21" t="s">
        <v>29</v>
      </c>
      <c r="G29" s="22">
        <f>1/2+1/4+1/4-2*1/8</f>
        <v>0.75</v>
      </c>
      <c r="H29" s="18"/>
      <c r="I29" s="21"/>
      <c r="J29" s="22"/>
      <c r="K29" s="18"/>
    </row>
    <row r="30" spans="1:19">
      <c r="A30" s="18"/>
      <c r="B30" s="18"/>
      <c r="C30" s="18"/>
      <c r="D30" s="18"/>
      <c r="E30" s="18"/>
      <c r="F30" s="21" t="s">
        <v>32</v>
      </c>
      <c r="G30" s="26">
        <f>G28*SQRT(G29*O23)</f>
        <v>4.1660255917083884</v>
      </c>
      <c r="H30" s="18"/>
      <c r="I30" s="21" t="s">
        <v>34</v>
      </c>
      <c r="J30" s="26">
        <f>G28*SQRT((1+G29)*O23)</f>
        <v>6.3637092070422945</v>
      </c>
      <c r="K30" s="18"/>
    </row>
    <row r="31" spans="1:19">
      <c r="A31" s="18"/>
      <c r="B31" s="21" t="s">
        <v>23</v>
      </c>
      <c r="C31" s="22">
        <f>SUMIFS(J3:J10,F3:F10,"=1")</f>
        <v>68</v>
      </c>
      <c r="D31" s="18"/>
      <c r="E31" s="18"/>
      <c r="F31" s="21" t="s">
        <v>30</v>
      </c>
      <c r="G31" s="27">
        <f>G27-G30</f>
        <v>27.08397440829161</v>
      </c>
      <c r="H31" s="18"/>
      <c r="I31" s="21" t="s">
        <v>35</v>
      </c>
      <c r="J31" s="27">
        <f>J27-J30</f>
        <v>24.886290792957706</v>
      </c>
      <c r="K31" s="18"/>
    </row>
    <row r="32" spans="1:19">
      <c r="A32" s="18"/>
      <c r="B32" s="21" t="s">
        <v>24</v>
      </c>
      <c r="C32" s="10">
        <f>SUMIFS(J3:J10,F3:F10,"=2")</f>
        <v>78</v>
      </c>
      <c r="D32" s="18"/>
      <c r="E32" s="18"/>
      <c r="F32" s="21" t="s">
        <v>31</v>
      </c>
      <c r="G32" s="27">
        <f>G27+G30</f>
        <v>35.41602559170839</v>
      </c>
      <c r="H32" s="18"/>
      <c r="I32" s="21" t="s">
        <v>36</v>
      </c>
      <c r="J32" s="27">
        <f>J27+J30</f>
        <v>37.613709207042291</v>
      </c>
      <c r="K32" s="18"/>
    </row>
    <row r="33" spans="1:1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>
      <c r="A34" s="18"/>
      <c r="B34" s="21" t="s">
        <v>25</v>
      </c>
      <c r="C34" s="22">
        <f>SUMIFS(J3:J10,I3:I10,"=1")</f>
        <v>59</v>
      </c>
      <c r="D34" s="18"/>
      <c r="E34" s="18"/>
      <c r="F34" s="18"/>
      <c r="G34" s="18"/>
      <c r="H34" s="18"/>
      <c r="I34" s="18"/>
      <c r="J34" s="18"/>
      <c r="K34" s="18"/>
    </row>
    <row r="35" spans="1:11">
      <c r="A35" s="18"/>
      <c r="B35" s="21" t="s">
        <v>26</v>
      </c>
      <c r="C35" s="10">
        <f>G27</f>
        <v>31.25</v>
      </c>
      <c r="D35" s="18"/>
      <c r="E35" s="18"/>
      <c r="F35" s="18"/>
      <c r="G35" s="18"/>
      <c r="H35" s="18"/>
      <c r="I35" s="18"/>
      <c r="J35" s="18"/>
      <c r="K35" s="18"/>
    </row>
    <row r="36" spans="1:11">
      <c r="A36" s="18"/>
      <c r="B36" s="18"/>
      <c r="D36" s="18"/>
      <c r="E36" s="18"/>
      <c r="F36" s="18"/>
      <c r="G36" s="18"/>
      <c r="H36" s="18"/>
      <c r="I36" s="18"/>
      <c r="J36" s="18"/>
      <c r="K36" s="18"/>
    </row>
    <row r="37" spans="1:11">
      <c r="A37" s="18"/>
      <c r="B37" s="21" t="s">
        <v>52</v>
      </c>
      <c r="C37" s="10" t="s">
        <v>55</v>
      </c>
      <c r="D37" s="18"/>
      <c r="E37" s="18"/>
      <c r="F37" s="18"/>
      <c r="G37" s="18"/>
      <c r="H37" s="18"/>
      <c r="I37" s="18"/>
      <c r="J37" s="18"/>
      <c r="K37" s="18"/>
    </row>
    <row r="38" spans="1:1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>
      <c r="B41" s="18"/>
      <c r="C41" s="18"/>
      <c r="D41" s="18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FAEB9-5069-BB4B-82A6-6796BAF5A218}">
  <dimension ref="A1:O56"/>
  <sheetViews>
    <sheetView topLeftCell="A10" zoomScale="130" zoomScaleNormal="130" workbookViewId="0">
      <selection activeCell="J51" sqref="J51"/>
    </sheetView>
  </sheetViews>
  <sheetFormatPr baseColWidth="10" defaultRowHeight="14"/>
  <cols>
    <col min="1" max="1" width="21.83203125" bestFit="1" customWidth="1"/>
    <col min="2" max="5" width="6.33203125" bestFit="1" customWidth="1"/>
    <col min="6" max="6" width="17.1640625" bestFit="1" customWidth="1"/>
    <col min="7" max="7" width="9.33203125" bestFit="1" customWidth="1"/>
    <col min="8" max="8" width="6.83203125" customWidth="1"/>
    <col min="9" max="9" width="21.83203125" bestFit="1" customWidth="1"/>
    <col min="10" max="14" width="6.83203125" customWidth="1"/>
  </cols>
  <sheetData>
    <row r="1" spans="1:15">
      <c r="A1" s="4" t="s">
        <v>0</v>
      </c>
      <c r="B1" s="4" t="s">
        <v>2</v>
      </c>
      <c r="C1" s="4" t="s">
        <v>1</v>
      </c>
      <c r="D1" s="4" t="s">
        <v>3</v>
      </c>
      <c r="E1" s="4" t="s">
        <v>3</v>
      </c>
      <c r="F1" s="4" t="s">
        <v>4</v>
      </c>
      <c r="G1" s="4" t="s">
        <v>5</v>
      </c>
      <c r="H1" s="4" t="s">
        <v>5</v>
      </c>
      <c r="I1" s="4"/>
      <c r="J1" s="4"/>
      <c r="K1" s="4"/>
      <c r="L1" s="4" t="s">
        <v>6</v>
      </c>
      <c r="M1" s="4" t="s">
        <v>45</v>
      </c>
      <c r="N1" s="4" t="s">
        <v>45</v>
      </c>
      <c r="O1" s="4" t="s">
        <v>46</v>
      </c>
    </row>
    <row r="2" spans="1:15">
      <c r="A2" s="4">
        <v>1</v>
      </c>
      <c r="B2" s="4">
        <v>1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5">
        <v>1</v>
      </c>
      <c r="N2" s="5">
        <v>1</v>
      </c>
      <c r="O2" s="4">
        <v>21</v>
      </c>
    </row>
    <row r="3" spans="1:15">
      <c r="A3" s="4">
        <v>2</v>
      </c>
      <c r="B3" s="4">
        <v>1</v>
      </c>
      <c r="C3" s="4">
        <v>1</v>
      </c>
      <c r="D3" s="4">
        <v>1</v>
      </c>
      <c r="E3" s="4">
        <v>1</v>
      </c>
      <c r="F3" s="4">
        <v>2</v>
      </c>
      <c r="G3" s="4">
        <v>2</v>
      </c>
      <c r="H3" s="4">
        <v>2</v>
      </c>
      <c r="I3" s="4">
        <v>2</v>
      </c>
      <c r="J3" s="4">
        <v>2</v>
      </c>
      <c r="K3" s="4">
        <v>2</v>
      </c>
      <c r="L3" s="4">
        <v>2</v>
      </c>
      <c r="M3" s="5">
        <v>2</v>
      </c>
      <c r="N3" s="5">
        <v>2</v>
      </c>
      <c r="O3" s="4">
        <v>16</v>
      </c>
    </row>
    <row r="4" spans="1:15">
      <c r="A4" s="4">
        <v>3</v>
      </c>
      <c r="B4" s="4">
        <v>1</v>
      </c>
      <c r="C4" s="4">
        <v>1</v>
      </c>
      <c r="D4" s="4">
        <v>1</v>
      </c>
      <c r="E4" s="4">
        <v>1</v>
      </c>
      <c r="F4" s="4">
        <v>3</v>
      </c>
      <c r="G4" s="4">
        <v>3</v>
      </c>
      <c r="H4" s="4">
        <v>3</v>
      </c>
      <c r="I4" s="4">
        <v>3</v>
      </c>
      <c r="J4" s="4">
        <v>3</v>
      </c>
      <c r="K4" s="4">
        <v>3</v>
      </c>
      <c r="L4" s="4">
        <v>3</v>
      </c>
      <c r="M4" s="5">
        <v>3</v>
      </c>
      <c r="N4" s="5">
        <v>3</v>
      </c>
      <c r="O4" s="4">
        <v>16</v>
      </c>
    </row>
    <row r="5" spans="1:15">
      <c r="A5" s="4">
        <v>4</v>
      </c>
      <c r="B5" s="4">
        <v>1</v>
      </c>
      <c r="C5" s="4">
        <v>2</v>
      </c>
      <c r="D5" s="4">
        <v>2</v>
      </c>
      <c r="E5" s="4">
        <v>2</v>
      </c>
      <c r="F5" s="4">
        <v>1</v>
      </c>
      <c r="G5" s="4">
        <v>1</v>
      </c>
      <c r="H5" s="4">
        <v>1</v>
      </c>
      <c r="I5" s="4">
        <v>2</v>
      </c>
      <c r="J5" s="4">
        <v>2</v>
      </c>
      <c r="K5" s="4">
        <v>2</v>
      </c>
      <c r="L5" s="4">
        <v>3</v>
      </c>
      <c r="M5" s="5">
        <v>3</v>
      </c>
      <c r="N5" s="5">
        <v>3</v>
      </c>
      <c r="O5" s="4">
        <v>23</v>
      </c>
    </row>
    <row r="6" spans="1:15">
      <c r="A6" s="4">
        <v>5</v>
      </c>
      <c r="B6" s="4">
        <v>1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3</v>
      </c>
      <c r="J6" s="4">
        <v>3</v>
      </c>
      <c r="K6" s="4">
        <v>3</v>
      </c>
      <c r="L6" s="4">
        <v>1</v>
      </c>
      <c r="M6" s="5">
        <v>1</v>
      </c>
      <c r="N6" s="5">
        <v>1</v>
      </c>
      <c r="O6" s="4">
        <v>21</v>
      </c>
    </row>
    <row r="7" spans="1:15">
      <c r="A7" s="4">
        <v>6</v>
      </c>
      <c r="B7" s="4">
        <v>1</v>
      </c>
      <c r="C7" s="4">
        <v>2</v>
      </c>
      <c r="D7" s="4">
        <v>2</v>
      </c>
      <c r="E7" s="4">
        <v>2</v>
      </c>
      <c r="F7" s="4">
        <v>3</v>
      </c>
      <c r="G7" s="4">
        <v>3</v>
      </c>
      <c r="H7" s="4">
        <v>3</v>
      </c>
      <c r="I7" s="4">
        <v>1</v>
      </c>
      <c r="J7" s="4">
        <v>1</v>
      </c>
      <c r="K7" s="4">
        <v>1</v>
      </c>
      <c r="L7" s="4">
        <v>2</v>
      </c>
      <c r="M7" s="5">
        <v>2</v>
      </c>
      <c r="N7" s="5">
        <v>2</v>
      </c>
      <c r="O7" s="4">
        <v>22</v>
      </c>
    </row>
    <row r="8" spans="1:15">
      <c r="A8" s="4">
        <v>7</v>
      </c>
      <c r="B8" s="4">
        <v>1</v>
      </c>
      <c r="C8" s="4">
        <v>3</v>
      </c>
      <c r="D8" s="4">
        <v>3</v>
      </c>
      <c r="E8" s="4">
        <v>3</v>
      </c>
      <c r="F8" s="4">
        <v>1</v>
      </c>
      <c r="G8" s="4">
        <v>1</v>
      </c>
      <c r="H8" s="4">
        <v>1</v>
      </c>
      <c r="I8" s="4">
        <v>3</v>
      </c>
      <c r="J8" s="4">
        <v>3</v>
      </c>
      <c r="K8" s="4">
        <v>3</v>
      </c>
      <c r="L8" s="4">
        <v>2</v>
      </c>
      <c r="M8" s="5">
        <v>2</v>
      </c>
      <c r="N8" s="5">
        <v>2</v>
      </c>
      <c r="O8" s="4">
        <v>14</v>
      </c>
    </row>
    <row r="9" spans="1:15">
      <c r="A9" s="4">
        <v>8</v>
      </c>
      <c r="B9" s="4">
        <v>1</v>
      </c>
      <c r="C9" s="4">
        <v>3</v>
      </c>
      <c r="D9" s="4">
        <v>3</v>
      </c>
      <c r="E9" s="4">
        <v>3</v>
      </c>
      <c r="F9" s="4">
        <v>2</v>
      </c>
      <c r="G9" s="4">
        <v>2</v>
      </c>
      <c r="H9" s="4">
        <v>2</v>
      </c>
      <c r="I9" s="4">
        <v>1</v>
      </c>
      <c r="J9" s="4">
        <v>1</v>
      </c>
      <c r="K9" s="4">
        <v>1</v>
      </c>
      <c r="L9" s="4">
        <v>3</v>
      </c>
      <c r="M9" s="5">
        <v>3</v>
      </c>
      <c r="N9" s="5">
        <v>3</v>
      </c>
      <c r="O9" s="4">
        <v>18</v>
      </c>
    </row>
    <row r="10" spans="1:15">
      <c r="A10" s="4">
        <v>9</v>
      </c>
      <c r="B10" s="4">
        <v>1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2</v>
      </c>
      <c r="J10" s="4">
        <v>2</v>
      </c>
      <c r="K10" s="4">
        <v>2</v>
      </c>
      <c r="L10" s="4">
        <v>1</v>
      </c>
      <c r="M10" s="5">
        <v>1</v>
      </c>
      <c r="N10" s="5">
        <v>1</v>
      </c>
      <c r="O10" s="4">
        <v>15</v>
      </c>
    </row>
    <row r="11" spans="1:15">
      <c r="A11" s="4">
        <v>10</v>
      </c>
      <c r="B11" s="4">
        <v>2</v>
      </c>
      <c r="C11" s="4">
        <v>1</v>
      </c>
      <c r="D11" s="4">
        <v>2</v>
      </c>
      <c r="E11" s="4">
        <v>3</v>
      </c>
      <c r="F11" s="4">
        <v>1</v>
      </c>
      <c r="G11" s="4">
        <v>2</v>
      </c>
      <c r="H11" s="4">
        <v>3</v>
      </c>
      <c r="I11" s="4">
        <v>1</v>
      </c>
      <c r="J11" s="4">
        <v>2</v>
      </c>
      <c r="K11" s="4">
        <v>3</v>
      </c>
      <c r="L11" s="4">
        <v>1</v>
      </c>
      <c r="M11" s="5">
        <v>2</v>
      </c>
      <c r="N11" s="5">
        <v>3</v>
      </c>
      <c r="O11" s="4">
        <v>21</v>
      </c>
    </row>
    <row r="12" spans="1:15">
      <c r="A12" s="4">
        <v>11</v>
      </c>
      <c r="B12" s="4">
        <v>2</v>
      </c>
      <c r="C12" s="4">
        <v>1</v>
      </c>
      <c r="D12" s="4">
        <v>2</v>
      </c>
      <c r="E12" s="4">
        <v>3</v>
      </c>
      <c r="F12" s="4">
        <v>2</v>
      </c>
      <c r="G12" s="4">
        <v>3</v>
      </c>
      <c r="H12" s="4">
        <v>1</v>
      </c>
      <c r="I12" s="4">
        <v>2</v>
      </c>
      <c r="J12" s="4">
        <v>3</v>
      </c>
      <c r="K12" s="4">
        <v>1</v>
      </c>
      <c r="L12" s="4">
        <v>2</v>
      </c>
      <c r="M12" s="5">
        <v>3</v>
      </c>
      <c r="N12" s="5">
        <v>1</v>
      </c>
      <c r="O12" s="4">
        <v>22</v>
      </c>
    </row>
    <row r="13" spans="1:15">
      <c r="A13" s="4">
        <v>12</v>
      </c>
      <c r="B13" s="4">
        <v>2</v>
      </c>
      <c r="C13" s="4">
        <v>1</v>
      </c>
      <c r="D13" s="4">
        <v>2</v>
      </c>
      <c r="E13" s="4">
        <v>3</v>
      </c>
      <c r="F13" s="4">
        <v>3</v>
      </c>
      <c r="G13" s="4">
        <v>1</v>
      </c>
      <c r="H13" s="4">
        <v>2</v>
      </c>
      <c r="I13" s="4">
        <v>3</v>
      </c>
      <c r="J13" s="4">
        <v>1</v>
      </c>
      <c r="K13" s="4">
        <v>2</v>
      </c>
      <c r="L13" s="4">
        <v>3</v>
      </c>
      <c r="M13" s="5">
        <v>1</v>
      </c>
      <c r="N13" s="5">
        <v>2</v>
      </c>
      <c r="O13" s="4">
        <v>20</v>
      </c>
    </row>
    <row r="14" spans="1:15">
      <c r="A14" s="4">
        <v>13</v>
      </c>
      <c r="B14" s="4">
        <v>2</v>
      </c>
      <c r="C14" s="4">
        <v>2</v>
      </c>
      <c r="D14" s="4">
        <v>3</v>
      </c>
      <c r="E14" s="4">
        <v>1</v>
      </c>
      <c r="F14" s="4">
        <v>1</v>
      </c>
      <c r="G14" s="4">
        <v>2</v>
      </c>
      <c r="H14" s="4">
        <v>3</v>
      </c>
      <c r="I14" s="4">
        <v>2</v>
      </c>
      <c r="J14" s="4">
        <v>3</v>
      </c>
      <c r="K14" s="4">
        <v>1</v>
      </c>
      <c r="L14" s="4">
        <v>3</v>
      </c>
      <c r="M14" s="5">
        <v>1</v>
      </c>
      <c r="N14" s="5">
        <v>2</v>
      </c>
      <c r="O14" s="4">
        <v>20</v>
      </c>
    </row>
    <row r="15" spans="1:15">
      <c r="A15" s="4">
        <v>14</v>
      </c>
      <c r="B15" s="4">
        <v>2</v>
      </c>
      <c r="C15" s="4">
        <v>2</v>
      </c>
      <c r="D15" s="4">
        <v>3</v>
      </c>
      <c r="E15" s="4">
        <v>1</v>
      </c>
      <c r="F15" s="4">
        <v>2</v>
      </c>
      <c r="G15" s="4">
        <v>3</v>
      </c>
      <c r="H15" s="4">
        <v>1</v>
      </c>
      <c r="I15" s="4">
        <v>3</v>
      </c>
      <c r="J15" s="4">
        <v>1</v>
      </c>
      <c r="K15" s="4">
        <v>2</v>
      </c>
      <c r="L15" s="4">
        <v>1</v>
      </c>
      <c r="M15" s="5">
        <v>2</v>
      </c>
      <c r="N15" s="5">
        <v>3</v>
      </c>
      <c r="O15" s="4">
        <v>24</v>
      </c>
    </row>
    <row r="16" spans="1:15">
      <c r="A16" s="4">
        <v>15</v>
      </c>
      <c r="B16" s="4">
        <v>2</v>
      </c>
      <c r="C16" s="4">
        <v>2</v>
      </c>
      <c r="D16" s="4">
        <v>3</v>
      </c>
      <c r="E16" s="4">
        <v>1</v>
      </c>
      <c r="F16" s="4">
        <v>3</v>
      </c>
      <c r="G16" s="4">
        <v>1</v>
      </c>
      <c r="H16" s="4">
        <v>2</v>
      </c>
      <c r="I16" s="4">
        <v>1</v>
      </c>
      <c r="J16" s="4">
        <v>2</v>
      </c>
      <c r="K16" s="4">
        <v>3</v>
      </c>
      <c r="L16" s="4">
        <v>2</v>
      </c>
      <c r="M16" s="5">
        <v>3</v>
      </c>
      <c r="N16" s="5">
        <v>1</v>
      </c>
      <c r="O16" s="4">
        <v>20</v>
      </c>
    </row>
    <row r="17" spans="1:15">
      <c r="A17" s="4">
        <v>16</v>
      </c>
      <c r="B17" s="4">
        <v>2</v>
      </c>
      <c r="C17" s="4">
        <v>3</v>
      </c>
      <c r="D17" s="4">
        <v>1</v>
      </c>
      <c r="E17" s="4">
        <v>2</v>
      </c>
      <c r="F17" s="4">
        <v>1</v>
      </c>
      <c r="G17" s="4">
        <v>2</v>
      </c>
      <c r="H17" s="4">
        <v>3</v>
      </c>
      <c r="I17" s="4">
        <v>3</v>
      </c>
      <c r="J17" s="4">
        <v>1</v>
      </c>
      <c r="K17" s="4">
        <v>2</v>
      </c>
      <c r="L17" s="4">
        <v>2</v>
      </c>
      <c r="M17" s="5">
        <v>3</v>
      </c>
      <c r="N17" s="5">
        <v>1</v>
      </c>
      <c r="O17" s="4">
        <v>18</v>
      </c>
    </row>
    <row r="18" spans="1:15">
      <c r="A18" s="4">
        <v>17</v>
      </c>
      <c r="B18" s="4">
        <v>2</v>
      </c>
      <c r="C18" s="4">
        <v>3</v>
      </c>
      <c r="D18" s="4">
        <v>1</v>
      </c>
      <c r="E18" s="4">
        <v>2</v>
      </c>
      <c r="F18" s="4">
        <v>2</v>
      </c>
      <c r="G18" s="4">
        <v>3</v>
      </c>
      <c r="H18" s="4">
        <v>1</v>
      </c>
      <c r="I18" s="4">
        <v>1</v>
      </c>
      <c r="J18" s="4">
        <v>2</v>
      </c>
      <c r="K18" s="4">
        <v>3</v>
      </c>
      <c r="L18" s="4">
        <v>3</v>
      </c>
      <c r="M18" s="5">
        <v>1</v>
      </c>
      <c r="N18" s="5">
        <v>2</v>
      </c>
      <c r="O18" s="4">
        <v>20</v>
      </c>
    </row>
    <row r="19" spans="1:15">
      <c r="A19" s="4">
        <v>18</v>
      </c>
      <c r="B19" s="4">
        <v>2</v>
      </c>
      <c r="C19" s="4">
        <v>3</v>
      </c>
      <c r="D19" s="4">
        <v>1</v>
      </c>
      <c r="E19" s="4">
        <v>2</v>
      </c>
      <c r="F19" s="4">
        <v>3</v>
      </c>
      <c r="G19" s="4">
        <v>1</v>
      </c>
      <c r="H19" s="4">
        <v>2</v>
      </c>
      <c r="I19" s="4">
        <v>2</v>
      </c>
      <c r="J19" s="4">
        <v>3</v>
      </c>
      <c r="K19" s="4">
        <v>1</v>
      </c>
      <c r="L19" s="4">
        <v>1</v>
      </c>
      <c r="M19" s="5">
        <v>2</v>
      </c>
      <c r="N19" s="5">
        <v>3</v>
      </c>
      <c r="O19" s="4">
        <v>18</v>
      </c>
    </row>
    <row r="20" spans="1:15">
      <c r="A20" s="4">
        <v>19</v>
      </c>
      <c r="B20" s="4">
        <v>3</v>
      </c>
      <c r="C20" s="4">
        <v>1</v>
      </c>
      <c r="D20" s="4">
        <v>3</v>
      </c>
      <c r="E20" s="4">
        <v>2</v>
      </c>
      <c r="F20" s="4">
        <v>1</v>
      </c>
      <c r="G20" s="4">
        <v>3</v>
      </c>
      <c r="H20" s="4">
        <v>2</v>
      </c>
      <c r="I20" s="4">
        <v>1</v>
      </c>
      <c r="J20" s="4">
        <v>3</v>
      </c>
      <c r="K20" s="4">
        <v>2</v>
      </c>
      <c r="L20" s="4">
        <v>1</v>
      </c>
      <c r="M20" s="5">
        <v>3</v>
      </c>
      <c r="N20" s="5">
        <v>2</v>
      </c>
      <c r="O20" s="4">
        <v>21</v>
      </c>
    </row>
    <row r="21" spans="1:15">
      <c r="A21" s="4">
        <v>20</v>
      </c>
      <c r="B21" s="4">
        <v>3</v>
      </c>
      <c r="C21" s="4">
        <v>1</v>
      </c>
      <c r="D21" s="4">
        <v>3</v>
      </c>
      <c r="E21" s="4">
        <v>2</v>
      </c>
      <c r="F21" s="4">
        <v>2</v>
      </c>
      <c r="G21" s="4">
        <v>1</v>
      </c>
      <c r="H21" s="4">
        <v>3</v>
      </c>
      <c r="I21" s="4">
        <v>2</v>
      </c>
      <c r="J21" s="4">
        <v>1</v>
      </c>
      <c r="K21" s="4">
        <v>3</v>
      </c>
      <c r="L21" s="4">
        <v>2</v>
      </c>
      <c r="M21" s="5">
        <v>1</v>
      </c>
      <c r="N21" s="5">
        <v>3</v>
      </c>
      <c r="O21" s="4">
        <v>14</v>
      </c>
    </row>
    <row r="22" spans="1:15">
      <c r="A22" s="4">
        <v>21</v>
      </c>
      <c r="B22" s="4">
        <v>3</v>
      </c>
      <c r="C22" s="4">
        <v>1</v>
      </c>
      <c r="D22" s="4">
        <v>3</v>
      </c>
      <c r="E22" s="4">
        <v>2</v>
      </c>
      <c r="F22" s="4">
        <v>3</v>
      </c>
      <c r="G22" s="4">
        <v>2</v>
      </c>
      <c r="H22" s="4">
        <v>1</v>
      </c>
      <c r="I22" s="4">
        <v>3</v>
      </c>
      <c r="J22" s="4">
        <v>2</v>
      </c>
      <c r="K22" s="4">
        <v>1</v>
      </c>
      <c r="L22" s="4">
        <v>3</v>
      </c>
      <c r="M22" s="5">
        <v>2</v>
      </c>
      <c r="N22" s="5">
        <v>1</v>
      </c>
      <c r="O22" s="4">
        <v>15</v>
      </c>
    </row>
    <row r="23" spans="1:15">
      <c r="A23" s="4">
        <v>22</v>
      </c>
      <c r="B23" s="4">
        <v>3</v>
      </c>
      <c r="C23" s="4">
        <v>2</v>
      </c>
      <c r="D23" s="4">
        <v>1</v>
      </c>
      <c r="E23" s="4">
        <v>3</v>
      </c>
      <c r="F23" s="4">
        <v>1</v>
      </c>
      <c r="G23" s="4">
        <v>3</v>
      </c>
      <c r="H23" s="4">
        <v>2</v>
      </c>
      <c r="I23" s="4">
        <v>2</v>
      </c>
      <c r="J23" s="4">
        <v>1</v>
      </c>
      <c r="K23" s="4">
        <v>3</v>
      </c>
      <c r="L23" s="4">
        <v>3</v>
      </c>
      <c r="M23" s="5">
        <v>2</v>
      </c>
      <c r="N23" s="5">
        <v>1</v>
      </c>
      <c r="O23" s="4">
        <v>23</v>
      </c>
    </row>
    <row r="24" spans="1:15">
      <c r="A24" s="4">
        <v>23</v>
      </c>
      <c r="B24" s="4">
        <v>3</v>
      </c>
      <c r="C24" s="4">
        <v>2</v>
      </c>
      <c r="D24" s="4">
        <v>1</v>
      </c>
      <c r="E24" s="4">
        <v>3</v>
      </c>
      <c r="F24" s="4">
        <v>2</v>
      </c>
      <c r="G24" s="4">
        <v>1</v>
      </c>
      <c r="H24" s="4">
        <v>3</v>
      </c>
      <c r="I24" s="4">
        <v>3</v>
      </c>
      <c r="J24" s="4">
        <v>2</v>
      </c>
      <c r="K24" s="4">
        <v>1</v>
      </c>
      <c r="L24" s="4">
        <v>1</v>
      </c>
      <c r="M24" s="5">
        <v>3</v>
      </c>
      <c r="N24" s="5">
        <v>2</v>
      </c>
      <c r="O24" s="4">
        <v>16</v>
      </c>
    </row>
    <row r="25" spans="1:15">
      <c r="A25" s="4">
        <v>24</v>
      </c>
      <c r="B25" s="4">
        <v>3</v>
      </c>
      <c r="C25" s="4">
        <v>2</v>
      </c>
      <c r="D25" s="4">
        <v>1</v>
      </c>
      <c r="E25" s="4">
        <v>3</v>
      </c>
      <c r="F25" s="4">
        <v>3</v>
      </c>
      <c r="G25" s="4">
        <v>2</v>
      </c>
      <c r="H25" s="4">
        <v>1</v>
      </c>
      <c r="I25" s="4">
        <v>1</v>
      </c>
      <c r="J25" s="4">
        <v>3</v>
      </c>
      <c r="K25" s="4">
        <v>2</v>
      </c>
      <c r="L25" s="4">
        <v>2</v>
      </c>
      <c r="M25" s="5">
        <v>1</v>
      </c>
      <c r="N25" s="5">
        <v>3</v>
      </c>
      <c r="O25" s="4">
        <v>16</v>
      </c>
    </row>
    <row r="26" spans="1:15">
      <c r="A26" s="4">
        <v>25</v>
      </c>
      <c r="B26" s="4">
        <v>3</v>
      </c>
      <c r="C26" s="4">
        <v>3</v>
      </c>
      <c r="D26" s="4">
        <v>2</v>
      </c>
      <c r="E26" s="4">
        <v>1</v>
      </c>
      <c r="F26" s="4">
        <v>1</v>
      </c>
      <c r="G26" s="4">
        <v>3</v>
      </c>
      <c r="H26" s="4">
        <v>2</v>
      </c>
      <c r="I26" s="4">
        <v>3</v>
      </c>
      <c r="J26" s="4">
        <v>2</v>
      </c>
      <c r="K26" s="4">
        <v>1</v>
      </c>
      <c r="L26" s="4">
        <v>2</v>
      </c>
      <c r="M26" s="5">
        <v>1</v>
      </c>
      <c r="N26" s="5">
        <v>3</v>
      </c>
      <c r="O26" s="4">
        <v>20</v>
      </c>
    </row>
    <row r="27" spans="1:15">
      <c r="A27" s="4">
        <v>26</v>
      </c>
      <c r="B27" s="4">
        <v>3</v>
      </c>
      <c r="C27" s="4">
        <v>3</v>
      </c>
      <c r="D27" s="4">
        <v>2</v>
      </c>
      <c r="E27" s="4">
        <v>1</v>
      </c>
      <c r="F27" s="4">
        <v>2</v>
      </c>
      <c r="G27" s="4">
        <v>1</v>
      </c>
      <c r="H27" s="4">
        <v>3</v>
      </c>
      <c r="I27" s="4">
        <v>1</v>
      </c>
      <c r="J27" s="4">
        <v>3</v>
      </c>
      <c r="K27" s="4">
        <v>2</v>
      </c>
      <c r="L27" s="4">
        <v>3</v>
      </c>
      <c r="M27" s="5">
        <v>2</v>
      </c>
      <c r="N27" s="5">
        <v>1</v>
      </c>
      <c r="O27" s="4">
        <v>11</v>
      </c>
    </row>
    <row r="28" spans="1:15">
      <c r="A28" s="4">
        <v>27</v>
      </c>
      <c r="B28" s="4">
        <v>3</v>
      </c>
      <c r="C28" s="4">
        <v>3</v>
      </c>
      <c r="D28" s="4">
        <v>2</v>
      </c>
      <c r="E28" s="4">
        <v>1</v>
      </c>
      <c r="F28" s="4">
        <v>3</v>
      </c>
      <c r="G28" s="4">
        <v>2</v>
      </c>
      <c r="H28" s="4">
        <v>1</v>
      </c>
      <c r="I28" s="4">
        <v>2</v>
      </c>
      <c r="J28" s="4">
        <v>1</v>
      </c>
      <c r="K28" s="4">
        <v>3</v>
      </c>
      <c r="L28" s="4">
        <v>1</v>
      </c>
      <c r="M28" s="5">
        <v>3</v>
      </c>
      <c r="N28" s="5">
        <v>2</v>
      </c>
      <c r="O28" s="4">
        <v>19</v>
      </c>
    </row>
    <row r="29" spans="1:15">
      <c r="O29" s="4">
        <f>SUM(O2:O28)</f>
        <v>504</v>
      </c>
    </row>
    <row r="30" spans="1:15">
      <c r="A30" s="6" t="s">
        <v>7</v>
      </c>
      <c r="B30" s="5">
        <f>SUMIF(B2:B28,"=1",$O$2:$O$28)</f>
        <v>166</v>
      </c>
      <c r="C30" s="5">
        <f t="shared" ref="C30:M30" si="0">SUMIF(C2:C28,"=1",$O$2:$O$28)</f>
        <v>166</v>
      </c>
      <c r="D30" s="5">
        <f t="shared" si="0"/>
        <v>164</v>
      </c>
      <c r="E30" s="5">
        <f t="shared" si="0"/>
        <v>167</v>
      </c>
      <c r="F30" s="5">
        <f t="shared" si="0"/>
        <v>181</v>
      </c>
      <c r="G30" s="5">
        <f t="shared" si="0"/>
        <v>157</v>
      </c>
      <c r="H30" s="5">
        <f t="shared" si="0"/>
        <v>174</v>
      </c>
      <c r="I30" s="5">
        <f t="shared" si="0"/>
        <v>170</v>
      </c>
      <c r="J30" s="5">
        <f t="shared" si="0"/>
        <v>179</v>
      </c>
      <c r="K30" s="5">
        <f t="shared" si="0"/>
        <v>172</v>
      </c>
      <c r="L30" s="5">
        <f t="shared" si="0"/>
        <v>176</v>
      </c>
      <c r="M30" s="5">
        <f t="shared" si="0"/>
        <v>167</v>
      </c>
      <c r="N30" s="5">
        <f>SUMIF(N2:N28,"=1",$O$2:$O$28)</f>
        <v>166</v>
      </c>
    </row>
    <row r="31" spans="1:15">
      <c r="A31" s="6" t="s">
        <v>8</v>
      </c>
      <c r="B31" s="5">
        <f>SUMIF(B2:B28,"=2",$O$2:$O$28)</f>
        <v>183</v>
      </c>
      <c r="C31" s="5">
        <f t="shared" ref="C31:N31" si="1">SUMIF(C2:C28,"=2",$O$2:$O$28)</f>
        <v>185</v>
      </c>
      <c r="D31" s="5">
        <f t="shared" si="1"/>
        <v>179</v>
      </c>
      <c r="E31" s="5">
        <f t="shared" si="1"/>
        <v>172</v>
      </c>
      <c r="F31" s="5">
        <f t="shared" si="1"/>
        <v>162</v>
      </c>
      <c r="G31" s="5">
        <f t="shared" si="1"/>
        <v>164</v>
      </c>
      <c r="H31" s="5">
        <f t="shared" si="1"/>
        <v>177</v>
      </c>
      <c r="I31" s="5">
        <f t="shared" si="1"/>
        <v>170</v>
      </c>
      <c r="J31" s="5">
        <f t="shared" si="1"/>
        <v>166</v>
      </c>
      <c r="K31" s="5">
        <f t="shared" si="1"/>
        <v>164</v>
      </c>
      <c r="L31" s="5">
        <f t="shared" si="1"/>
        <v>162</v>
      </c>
      <c r="M31" s="5">
        <f t="shared" si="1"/>
        <v>164</v>
      </c>
      <c r="N31" s="5">
        <f t="shared" si="1"/>
        <v>168</v>
      </c>
    </row>
    <row r="32" spans="1:15">
      <c r="A32" s="6" t="s">
        <v>47</v>
      </c>
      <c r="B32" s="5">
        <f>SUMIF(B2:B28,"=3",$O$2:$O$28)</f>
        <v>155</v>
      </c>
      <c r="C32" s="5">
        <f t="shared" ref="C32:N32" si="2">SUMIF(C2:C28,"=3",$O$2:$O$28)</f>
        <v>153</v>
      </c>
      <c r="D32" s="5">
        <f t="shared" si="2"/>
        <v>161</v>
      </c>
      <c r="E32" s="5">
        <f t="shared" si="2"/>
        <v>165</v>
      </c>
      <c r="F32" s="5">
        <f t="shared" si="2"/>
        <v>161</v>
      </c>
      <c r="G32" s="5">
        <f t="shared" si="2"/>
        <v>183</v>
      </c>
      <c r="H32" s="5">
        <f t="shared" si="2"/>
        <v>153</v>
      </c>
      <c r="I32" s="5">
        <f t="shared" si="2"/>
        <v>164</v>
      </c>
      <c r="J32" s="5">
        <f t="shared" si="2"/>
        <v>159</v>
      </c>
      <c r="K32" s="5">
        <f t="shared" si="2"/>
        <v>168</v>
      </c>
      <c r="L32" s="5">
        <f t="shared" si="2"/>
        <v>166</v>
      </c>
      <c r="M32" s="5">
        <f t="shared" si="2"/>
        <v>173</v>
      </c>
      <c r="N32" s="5">
        <f t="shared" si="2"/>
        <v>170</v>
      </c>
    </row>
    <row r="33" spans="1:15">
      <c r="A33" s="6" t="s">
        <v>9</v>
      </c>
      <c r="B33" s="8">
        <f>SUMSQ(B30:B32)/9-$O29^2/27</f>
        <v>44.222222222222626</v>
      </c>
      <c r="C33" s="8">
        <f t="shared" ref="C33:N33" si="3">SUMSQ(C30:C32)/9-$O29^2/27</f>
        <v>57.555555555554747</v>
      </c>
      <c r="D33" s="8">
        <f t="shared" si="3"/>
        <v>20.66666666666606</v>
      </c>
      <c r="E33" s="8">
        <f t="shared" si="3"/>
        <v>2.8888888888886868</v>
      </c>
      <c r="F33" s="8">
        <f t="shared" si="3"/>
        <v>28.222222222222626</v>
      </c>
      <c r="G33" s="8">
        <f t="shared" si="3"/>
        <v>40.222222222222626</v>
      </c>
      <c r="H33" s="8">
        <f t="shared" si="3"/>
        <v>38</v>
      </c>
      <c r="I33" s="8">
        <f t="shared" si="3"/>
        <v>2.6666666666660603</v>
      </c>
      <c r="J33" s="8">
        <f t="shared" si="3"/>
        <v>22.888888888888687</v>
      </c>
      <c r="K33" s="8">
        <f t="shared" si="3"/>
        <v>3.5555555555547471</v>
      </c>
      <c r="L33" s="8">
        <f t="shared" si="3"/>
        <v>11.555555555554747</v>
      </c>
      <c r="M33" s="8">
        <f t="shared" si="3"/>
        <v>4.6666666666660603</v>
      </c>
      <c r="N33" s="8">
        <f t="shared" si="3"/>
        <v>0.88888888888868678</v>
      </c>
      <c r="O33" s="2">
        <f>SUM(B33:N33)</f>
        <v>277.99999999999636</v>
      </c>
    </row>
    <row r="36" spans="1:15">
      <c r="A36" s="9" t="s">
        <v>44</v>
      </c>
      <c r="B36" s="4" t="s">
        <v>37</v>
      </c>
      <c r="C36" s="4" t="s">
        <v>38</v>
      </c>
      <c r="D36" s="4" t="s">
        <v>39</v>
      </c>
      <c r="E36" s="4" t="s">
        <v>42</v>
      </c>
      <c r="F36" s="4" t="s">
        <v>41</v>
      </c>
      <c r="G36" s="4" t="s">
        <v>40</v>
      </c>
      <c r="I36" s="9" t="s">
        <v>43</v>
      </c>
      <c r="J36" s="4" t="s">
        <v>37</v>
      </c>
      <c r="K36" s="4" t="s">
        <v>38</v>
      </c>
      <c r="L36" s="4" t="s">
        <v>39</v>
      </c>
      <c r="M36" s="4" t="s">
        <v>42</v>
      </c>
      <c r="N36" s="4" t="s">
        <v>41</v>
      </c>
      <c r="O36" s="4" t="s">
        <v>40</v>
      </c>
    </row>
    <row r="37" spans="1:15">
      <c r="A37" s="6" t="s">
        <v>10</v>
      </c>
      <c r="B37" s="12">
        <f>C33</f>
        <v>57.555555555554747</v>
      </c>
      <c r="C37" s="5">
        <v>2</v>
      </c>
      <c r="D37" s="8">
        <f>B37/C37</f>
        <v>28.777777777777374</v>
      </c>
      <c r="E37" s="8">
        <f>D37/D$44</f>
        <v>5.9312977099239106</v>
      </c>
      <c r="F37" s="7">
        <f>_xlfn.F.DIST.RT(E37,C37,C$44)</f>
        <v>3.7898329371699006E-2</v>
      </c>
      <c r="G37" s="8">
        <f>_xlfn.F.INV.RT(0.05,C37,C$44)</f>
        <v>5.1432528497847176</v>
      </c>
      <c r="I37" s="6" t="s">
        <v>10</v>
      </c>
      <c r="J37" s="12">
        <f t="shared" ref="J37:K39" si="4">B37</f>
        <v>57.555555555554747</v>
      </c>
      <c r="K37" s="13">
        <f t="shared" si="4"/>
        <v>2</v>
      </c>
      <c r="L37" s="8">
        <f>J37/K37</f>
        <v>28.777777777777374</v>
      </c>
      <c r="M37" s="8">
        <f>L37/L$44</f>
        <v>6.5987261146499714</v>
      </c>
      <c r="N37" s="7">
        <f>_xlfn.F.DIST.RT(M37,K37,K$44)</f>
        <v>8.1320531571384795E-3</v>
      </c>
      <c r="O37" s="8">
        <f>_xlfn.F.INV.RT(0.05,K37,K$44)</f>
        <v>3.6337234675916301</v>
      </c>
    </row>
    <row r="38" spans="1:15">
      <c r="A38" s="6" t="s">
        <v>11</v>
      </c>
      <c r="B38" s="12">
        <f>B33</f>
        <v>44.222222222222626</v>
      </c>
      <c r="C38" s="5">
        <v>2</v>
      </c>
      <c r="D38" s="8">
        <f t="shared" ref="D38:D44" si="5">B38/C38</f>
        <v>22.111111111111313</v>
      </c>
      <c r="E38" s="8">
        <f t="shared" ref="E38:E43" si="6">D38/D$44</f>
        <v>4.5572519083972418</v>
      </c>
      <c r="F38" s="7">
        <f t="shared" ref="F38:F43" si="7">_xlfn.F.DIST.RT(E38,C38,C$44)</f>
        <v>6.2556446002719687E-2</v>
      </c>
      <c r="G38" s="8">
        <f t="shared" ref="G38:G43" si="8">_xlfn.F.INV.RT(0.05,C38,C$44)</f>
        <v>5.1432528497847176</v>
      </c>
      <c r="I38" s="6" t="s">
        <v>11</v>
      </c>
      <c r="J38" s="12">
        <f t="shared" si="4"/>
        <v>44.222222222222626</v>
      </c>
      <c r="K38" s="13">
        <f t="shared" si="4"/>
        <v>2</v>
      </c>
      <c r="L38" s="8">
        <f t="shared" ref="L38:L39" si="9">J38/K38</f>
        <v>22.111111111111313</v>
      </c>
      <c r="M38" s="8">
        <f t="shared" ref="M38:M39" si="10">L38/L$44</f>
        <v>5.0700636942678559</v>
      </c>
      <c r="N38" s="7">
        <f t="shared" ref="N38:N39" si="11">_xlfn.F.DIST.RT(M38,K38,K$44)</f>
        <v>1.9701453305619673E-2</v>
      </c>
      <c r="O38" s="8">
        <f t="shared" ref="O38:O42" si="12">_xlfn.F.INV.RT(0.05,K38,K$44)</f>
        <v>3.6337234675916301</v>
      </c>
    </row>
    <row r="39" spans="1:15">
      <c r="A39" s="6" t="s">
        <v>12</v>
      </c>
      <c r="B39" s="12">
        <f>F33</f>
        <v>28.222222222222626</v>
      </c>
      <c r="C39" s="5">
        <v>2</v>
      </c>
      <c r="D39" s="8">
        <f t="shared" si="5"/>
        <v>14.111111111111313</v>
      </c>
      <c r="E39" s="8">
        <f t="shared" si="6"/>
        <v>2.9083969465650887</v>
      </c>
      <c r="F39" s="7">
        <f t="shared" si="7"/>
        <v>0.13090455813579469</v>
      </c>
      <c r="G39" s="8">
        <f t="shared" si="8"/>
        <v>5.1432528497847176</v>
      </c>
      <c r="I39" s="6" t="s">
        <v>12</v>
      </c>
      <c r="J39" s="12">
        <f t="shared" si="4"/>
        <v>28.222222222222626</v>
      </c>
      <c r="K39" s="13">
        <f t="shared" si="4"/>
        <v>2</v>
      </c>
      <c r="L39" s="8">
        <f t="shared" si="9"/>
        <v>14.111111111111313</v>
      </c>
      <c r="M39" s="8">
        <f t="shared" si="10"/>
        <v>3.235668789809151</v>
      </c>
      <c r="N39" s="7">
        <f t="shared" si="11"/>
        <v>6.6058463641327156E-2</v>
      </c>
      <c r="O39" s="8">
        <f t="shared" si="12"/>
        <v>3.6337234675916301</v>
      </c>
    </row>
    <row r="40" spans="1:15">
      <c r="A40" s="6" t="s">
        <v>13</v>
      </c>
      <c r="B40" s="12">
        <f>L33</f>
        <v>11.555555555554747</v>
      </c>
      <c r="C40" s="5">
        <v>2</v>
      </c>
      <c r="D40" s="8">
        <f t="shared" si="5"/>
        <v>5.7777777777773736</v>
      </c>
      <c r="E40" s="8">
        <f t="shared" si="6"/>
        <v>1.1908396946564714</v>
      </c>
      <c r="F40" s="7">
        <f t="shared" si="7"/>
        <v>0.36682642877434979</v>
      </c>
      <c r="G40" s="8">
        <f t="shared" si="8"/>
        <v>5.1432528497847176</v>
      </c>
      <c r="I40" s="6" t="s">
        <v>13</v>
      </c>
      <c r="J40" s="12"/>
      <c r="K40" s="13"/>
      <c r="L40" s="8"/>
      <c r="M40" s="8"/>
      <c r="N40" s="7"/>
      <c r="O40" s="8"/>
    </row>
    <row r="41" spans="1:15">
      <c r="A41" s="6" t="s">
        <v>14</v>
      </c>
      <c r="B41" s="12">
        <f>D33+E33</f>
        <v>23.555555555554747</v>
      </c>
      <c r="C41" s="5">
        <v>4</v>
      </c>
      <c r="D41" s="8">
        <f t="shared" si="5"/>
        <v>5.8888888888886868</v>
      </c>
      <c r="E41" s="8">
        <f t="shared" si="6"/>
        <v>1.2137404580152931</v>
      </c>
      <c r="F41" s="7">
        <f t="shared" si="7"/>
        <v>0.39546994732773844</v>
      </c>
      <c r="G41" s="8">
        <f t="shared" si="8"/>
        <v>4.5336769502752441</v>
      </c>
      <c r="I41" s="6" t="s">
        <v>14</v>
      </c>
      <c r="J41" s="12"/>
      <c r="K41" s="13"/>
      <c r="L41" s="8"/>
      <c r="M41" s="8"/>
      <c r="N41" s="7"/>
      <c r="O41" s="8"/>
    </row>
    <row r="42" spans="1:15">
      <c r="A42" s="6" t="s">
        <v>15</v>
      </c>
      <c r="B42" s="12">
        <f>G33+H33</f>
        <v>78.222222222222626</v>
      </c>
      <c r="C42" s="5">
        <v>4</v>
      </c>
      <c r="D42" s="8">
        <f t="shared" si="5"/>
        <v>19.555555555555657</v>
      </c>
      <c r="E42" s="8">
        <f t="shared" si="6"/>
        <v>4.0305343511452829</v>
      </c>
      <c r="F42" s="7">
        <f t="shared" si="7"/>
        <v>6.3571723206810427E-2</v>
      </c>
      <c r="G42" s="8">
        <f t="shared" si="8"/>
        <v>4.5336769502752441</v>
      </c>
      <c r="I42" s="6" t="s">
        <v>15</v>
      </c>
      <c r="J42" s="12">
        <f>B42</f>
        <v>78.222222222222626</v>
      </c>
      <c r="K42" s="13">
        <f>C42</f>
        <v>4</v>
      </c>
      <c r="L42" s="8">
        <f>J42/K42</f>
        <v>19.555555555555657</v>
      </c>
      <c r="M42" s="8">
        <f>L42/L$44</f>
        <v>4.4840764331213023</v>
      </c>
      <c r="N42" s="7">
        <f>_xlfn.F.DIST.RT(M42,K42,K$44)</f>
        <v>1.2764326038801271E-2</v>
      </c>
      <c r="O42" s="8">
        <f t="shared" si="12"/>
        <v>3.0069172799243447</v>
      </c>
    </row>
    <row r="43" spans="1:15">
      <c r="A43" s="6" t="s">
        <v>48</v>
      </c>
      <c r="B43" s="12">
        <f>M33+N33</f>
        <v>5.5555555555547471</v>
      </c>
      <c r="C43" s="5">
        <v>4</v>
      </c>
      <c r="D43" s="8">
        <f t="shared" si="5"/>
        <v>1.3888888888886868</v>
      </c>
      <c r="E43" s="8">
        <f t="shared" si="6"/>
        <v>0.2862595419847071</v>
      </c>
      <c r="F43" s="7">
        <f t="shared" si="7"/>
        <v>0.87685437548711542</v>
      </c>
      <c r="G43" s="8">
        <f t="shared" si="8"/>
        <v>4.5336769502752441</v>
      </c>
      <c r="I43" s="6" t="s">
        <v>48</v>
      </c>
      <c r="J43" s="12"/>
      <c r="K43" s="13"/>
      <c r="L43" s="8"/>
      <c r="M43" s="8"/>
      <c r="N43" s="7"/>
      <c r="O43" s="8"/>
    </row>
    <row r="44" spans="1:15">
      <c r="A44" s="6" t="s">
        <v>16</v>
      </c>
      <c r="B44" s="12">
        <f>I33+J33+K33</f>
        <v>29.111111111109494</v>
      </c>
      <c r="C44" s="5">
        <v>6</v>
      </c>
      <c r="D44" s="8">
        <f t="shared" si="5"/>
        <v>4.8518518518515821</v>
      </c>
      <c r="E44" s="8"/>
      <c r="F44" s="5"/>
      <c r="G44" s="5"/>
      <c r="I44" s="6" t="s">
        <v>16</v>
      </c>
      <c r="J44" s="12">
        <f>B44+B41+B40+B43</f>
        <v>69.777777777773736</v>
      </c>
      <c r="K44" s="13">
        <f>C44+C41+C40+C43</f>
        <v>16</v>
      </c>
      <c r="L44" s="8">
        <f>J44/K44</f>
        <v>4.3611111111108585</v>
      </c>
      <c r="M44" s="8"/>
      <c r="N44" s="5"/>
      <c r="O44" s="5"/>
    </row>
    <row r="45" spans="1:15">
      <c r="A45" s="6" t="s">
        <v>17</v>
      </c>
      <c r="B45" s="12">
        <f>SUM(B37:B44)</f>
        <v>277.99999999999636</v>
      </c>
      <c r="C45" s="5">
        <v>26</v>
      </c>
      <c r="D45" s="5"/>
      <c r="E45" s="5"/>
      <c r="F45" s="5"/>
      <c r="G45" s="5"/>
      <c r="I45" s="6" t="s">
        <v>17</v>
      </c>
      <c r="J45" s="12">
        <f>B45</f>
        <v>277.99999999999636</v>
      </c>
      <c r="K45" s="13">
        <f>C45</f>
        <v>26</v>
      </c>
      <c r="L45" s="5"/>
      <c r="M45" s="5"/>
      <c r="N45" s="5"/>
      <c r="O45" s="5"/>
    </row>
    <row r="47" spans="1:15">
      <c r="A47" s="5"/>
      <c r="B47" s="4" t="s">
        <v>23</v>
      </c>
      <c r="C47" s="4" t="s">
        <v>24</v>
      </c>
      <c r="D47" s="4" t="s">
        <v>50</v>
      </c>
      <c r="F47" s="6" t="s">
        <v>27</v>
      </c>
      <c r="G47" s="8">
        <f>C31/9+C49/3-O29/27</f>
        <v>23.888888888888889</v>
      </c>
      <c r="I47" s="6" t="s">
        <v>33</v>
      </c>
      <c r="J47" s="8">
        <f>G47</f>
        <v>23.888888888888889</v>
      </c>
    </row>
    <row r="48" spans="1:15">
      <c r="A48" s="6" t="s">
        <v>21</v>
      </c>
      <c r="B48" s="15">
        <f>SUMIFS($O$2:$O$28,$B$2:$B$28,"=1",$F$2:$F$28,"=1")</f>
        <v>58</v>
      </c>
      <c r="C48" s="15">
        <f>SUMIFS($O$2:$O$28,$B$2:$B$28,"=1",$F$2:$F$28,"=2")</f>
        <v>55</v>
      </c>
      <c r="D48" s="15">
        <f>SUMIFS($O$2:$O$28,$B$2:$B$28,"=1",$F$2:$F$28,"=3")</f>
        <v>53</v>
      </c>
      <c r="F48" s="6" t="s">
        <v>28</v>
      </c>
      <c r="G48" s="8">
        <f>_xlfn.T.INV.2T(0.05,K44)</f>
        <v>2.119905299221255</v>
      </c>
      <c r="I48" s="6"/>
      <c r="J48" s="5"/>
    </row>
    <row r="49" spans="1:10">
      <c r="A49" s="6" t="s">
        <v>22</v>
      </c>
      <c r="B49" s="15">
        <f>SUMIFS($O$2:$O$28,$B$2:$B$28,"=2",$F$2:$F$28,"=1")</f>
        <v>59</v>
      </c>
      <c r="C49" s="16">
        <f>SUMIFS($O$2:$O$28,$B$2:$B$28,"=2",$F$2:$F$28,"=2")</f>
        <v>66</v>
      </c>
      <c r="D49" s="15">
        <f>SUMIFS($O$2:$O$28,$B$2:$B$28,"=2",$F$2:$F$28,"=3")</f>
        <v>58</v>
      </c>
      <c r="F49" s="6" t="s">
        <v>29</v>
      </c>
      <c r="G49" s="7">
        <f>1/9+1/3-1/27</f>
        <v>0.40740740740740738</v>
      </c>
      <c r="I49" s="6"/>
      <c r="J49" s="5"/>
    </row>
    <row r="50" spans="1:10">
      <c r="A50" s="6" t="s">
        <v>49</v>
      </c>
      <c r="B50" s="15">
        <f>SUMIFS($O$2:$O$28,$B$2:$B$28,"=3",$F$2:$F$28,"=1")</f>
        <v>64</v>
      </c>
      <c r="C50" s="15">
        <f>SUMIFS($O$2:$O$28,$B$2:$B$28,"=3",$F$2:$F$28,"=2")</f>
        <v>41</v>
      </c>
      <c r="D50" s="15">
        <f>SUMIFS($O$2:$O$28,$B$2:$B$28,"=3",$F$2:$F$28,"=3")</f>
        <v>50</v>
      </c>
      <c r="F50" s="6" t="s">
        <v>32</v>
      </c>
      <c r="G50" s="8">
        <f>G48*SQRT(G49*L44)</f>
        <v>2.8257224159032353</v>
      </c>
      <c r="I50" s="6" t="s">
        <v>34</v>
      </c>
      <c r="J50" s="8">
        <f>G48*SQRT((1+G49)*L44)</f>
        <v>5.252002843297408</v>
      </c>
    </row>
    <row r="51" spans="1:10">
      <c r="A51" s="9"/>
      <c r="B51" s="1"/>
      <c r="C51" s="1"/>
      <c r="D51" s="1"/>
      <c r="F51" s="6" t="s">
        <v>30</v>
      </c>
      <c r="G51" s="11">
        <f>G47-G50</f>
        <v>21.063166472985653</v>
      </c>
      <c r="I51" s="6" t="s">
        <v>35</v>
      </c>
      <c r="J51" s="11">
        <f>J47-J50</f>
        <v>18.636886045591481</v>
      </c>
    </row>
    <row r="52" spans="1:10">
      <c r="A52" s="6" t="s">
        <v>19</v>
      </c>
      <c r="B52" s="15">
        <f>SUMIFS($O$2:$O$28,$C$2:$C$28,"=1")</f>
        <v>166</v>
      </c>
      <c r="F52" s="6" t="s">
        <v>31</v>
      </c>
      <c r="G52" s="11">
        <f>G47+G50</f>
        <v>26.714611304792125</v>
      </c>
      <c r="I52" s="6" t="s">
        <v>36</v>
      </c>
      <c r="J52" s="11">
        <f>J47+J50</f>
        <v>29.140891732186297</v>
      </c>
    </row>
    <row r="53" spans="1:10">
      <c r="A53" s="6" t="s">
        <v>20</v>
      </c>
      <c r="B53" s="16">
        <f>SUMIFS($O$2:$O$28,$C$2:$C$28,"=2")</f>
        <v>185</v>
      </c>
    </row>
    <row r="54" spans="1:10">
      <c r="A54" s="6" t="s">
        <v>51</v>
      </c>
      <c r="B54" s="15">
        <f>SUMIFS($O$2:$O$28,$C$2:$C$28,"=3")</f>
        <v>153</v>
      </c>
    </row>
    <row r="55" spans="1:10">
      <c r="A55" s="14"/>
    </row>
    <row r="56" spans="1:10">
      <c r="A56" t="s">
        <v>52</v>
      </c>
      <c r="B56" s="3" t="s">
        <v>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L8</vt:lpstr>
      <vt:lpstr>L27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2024-07-13T05:33:26Z</dcterms:created>
  <dcterms:modified xsi:type="dcterms:W3CDTF">2024-07-15T05:59:03Z</dcterms:modified>
</cp:coreProperties>
</file>