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32760" windowHeight="18560" tabRatio="718" activeTab="3"/>
  </bookViews>
  <sheets>
    <sheet name="試験項目" sheetId="1" r:id="rId1"/>
    <sheet name="直線性" sheetId="2" r:id="rId2"/>
    <sheet name="真度 " sheetId="3" r:id="rId3"/>
    <sheet name="併行精度" sheetId="4" r:id="rId4"/>
    <sheet name="室内再現精度" sheetId="5" r:id="rId5"/>
    <sheet name="評価結果" sheetId="6" r:id="rId6"/>
  </sheets>
  <definedNames>
    <definedName name="_xlfn.T.INV.2T" hidden="1">#NAME?</definedName>
    <definedName name="_xlnm.Print_Area" localSheetId="2">'真度 '!$A$1:$O$32</definedName>
    <definedName name="_xlnm.Print_Area" localSheetId="3">'併行精度'!$A$1:$O$36</definedName>
  </definedNames>
  <calcPr fullCalcOnLoad="1"/>
</workbook>
</file>

<file path=xl/sharedStrings.xml><?xml version="1.0" encoding="utf-8"?>
<sst xmlns="http://schemas.openxmlformats.org/spreadsheetml/2006/main" count="343" uniqueCount="193">
  <si>
    <t>相関係数（ｒ）</t>
  </si>
  <si>
    <t>添加率（%）</t>
  </si>
  <si>
    <t>回収率（%）</t>
  </si>
  <si>
    <t>注：表中の計算値はコンピューターの内部計算値を用いて計算しており、表記は便宜的にそれらの丸め値である。</t>
  </si>
  <si>
    <t>結果：</t>
  </si>
  <si>
    <t>パラメータ：直線性</t>
  </si>
  <si>
    <t xml:space="preserve">d－2.0Sd </t>
  </si>
  <si>
    <t xml:space="preserve">≦δ≦ </t>
  </si>
  <si>
    <t>d＋2.0Sd</t>
  </si>
  <si>
    <t>真度（d）</t>
  </si>
  <si>
    <t>測定数（N）</t>
  </si>
  <si>
    <t>濃度間の分散（Va）</t>
  </si>
  <si>
    <t>概要</t>
  </si>
  <si>
    <t>合計</t>
  </si>
  <si>
    <t>平均</t>
  </si>
  <si>
    <t>分散</t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</si>
  <si>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</si>
  <si>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</si>
  <si>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</si>
  <si>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</si>
  <si>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</si>
  <si>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</si>
  <si>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</si>
  <si>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室内再現条件</t>
  </si>
  <si>
    <t>対表示単位（%）</t>
  </si>
  <si>
    <t>n</t>
  </si>
  <si>
    <t>含量（w/v%）</t>
  </si>
  <si>
    <t>検量線のｙ切片の絶対値</t>
  </si>
  <si>
    <t>繰り返し</t>
  </si>
  <si>
    <t>対表示量の総平均</t>
  </si>
  <si>
    <t>平均値</t>
  </si>
  <si>
    <t>標準偏差　σ</t>
  </si>
  <si>
    <t>α</t>
  </si>
  <si>
    <t>分散（Ve）</t>
  </si>
  <si>
    <t>標準偏差の信頼区間（90%）</t>
  </si>
  <si>
    <t>自由度（φe）</t>
  </si>
  <si>
    <t>3濃度3繰り返し測定</t>
  </si>
  <si>
    <t>パラメータ：併行精度</t>
  </si>
  <si>
    <t>パラメータ：再現精度</t>
  </si>
  <si>
    <t>室内再現精度</t>
  </si>
  <si>
    <t>　　n：繰り返し数（2）</t>
  </si>
  <si>
    <t>標準溶液</t>
  </si>
  <si>
    <t>ピーク面積</t>
  </si>
  <si>
    <t>試料溶液</t>
  </si>
  <si>
    <t>ピーク面積比</t>
  </si>
  <si>
    <t>内標準物質</t>
  </si>
  <si>
    <t>試薬</t>
  </si>
  <si>
    <t>対表示量（%）</t>
  </si>
  <si>
    <t>a</t>
  </si>
  <si>
    <t>b</t>
  </si>
  <si>
    <t>試薬a</t>
  </si>
  <si>
    <t>試薬b</t>
  </si>
  <si>
    <t>パラメータ：真度</t>
  </si>
  <si>
    <t>回収率</t>
  </si>
  <si>
    <t>真度の信頼区間の推定（95%）</t>
  </si>
  <si>
    <t>繰り返し</t>
  </si>
  <si>
    <t>80%</t>
  </si>
  <si>
    <t>100%</t>
  </si>
  <si>
    <t>120%</t>
  </si>
  <si>
    <t>平均値</t>
  </si>
  <si>
    <t>真度(d)</t>
  </si>
  <si>
    <t>χ：添加率80(%)＝20、添加率100%＝25、添加率120%＝30</t>
  </si>
  <si>
    <t>グループ</t>
  </si>
  <si>
    <t>グループ間</t>
  </si>
  <si>
    <t>グループ内</t>
  </si>
  <si>
    <t>分析バリデーション　データシート</t>
  </si>
  <si>
    <t>物質A</t>
  </si>
  <si>
    <t>物質Aの検量線</t>
  </si>
  <si>
    <t>分析バリデーション　データシート</t>
  </si>
  <si>
    <t>表示量に</t>
  </si>
  <si>
    <t>対する割合[%]</t>
  </si>
  <si>
    <t>検量線の式</t>
  </si>
  <si>
    <t>y=0.3624x+0.0197</t>
  </si>
  <si>
    <t>100%レスポンスの4%</t>
  </si>
  <si>
    <t>χ：　表示量の80%→8　　90%→9　　　100%→10     110%→11     120%→12</t>
  </si>
  <si>
    <t>この液を、8，9，10，11あるいは12mL正確に量り、水を加えて正確に50mLとする。</t>
  </si>
  <si>
    <r>
      <t>ピーク面積比Ｑ</t>
    </r>
    <r>
      <rPr>
        <vertAlign val="subscript"/>
        <sz val="10"/>
        <rFont val="ＭＳ Ｐゴシック"/>
        <family val="0"/>
      </rPr>
      <t>S</t>
    </r>
  </si>
  <si>
    <r>
      <t>ピーク面積比Ｑ</t>
    </r>
    <r>
      <rPr>
        <vertAlign val="subscript"/>
        <sz val="10"/>
        <rFont val="ＭＳ Ｐゴシック"/>
        <family val="0"/>
      </rPr>
      <t>T</t>
    </r>
  </si>
  <si>
    <t xml:space="preserve">≦σ≦ </t>
  </si>
  <si>
    <r>
      <t>χ</t>
    </r>
    <r>
      <rPr>
        <vertAlign val="superscript"/>
        <sz val="11"/>
        <rFont val="ＭＳ Ｐゴシック"/>
        <family val="0"/>
      </rPr>
      <t>2</t>
    </r>
    <r>
      <rPr>
        <sz val="11"/>
        <rFont val="ＭＳ Ｐゴシック"/>
        <family val="0"/>
      </rPr>
      <t>（φ、α／2）</t>
    </r>
  </si>
  <si>
    <r>
      <t>χ</t>
    </r>
    <r>
      <rPr>
        <vertAlign val="superscript"/>
        <sz val="11"/>
        <rFont val="ＭＳ Ｐゴシック"/>
        <family val="0"/>
      </rPr>
      <t>2</t>
    </r>
    <r>
      <rPr>
        <sz val="11"/>
        <rFont val="ＭＳ Ｐゴシック"/>
        <family val="0"/>
      </rPr>
      <t>（φ、1-α／2）</t>
    </r>
  </si>
  <si>
    <r>
      <t>相対標準偏差 S</t>
    </r>
    <r>
      <rPr>
        <sz val="8"/>
        <rFont val="ＭＳ Ｐゴシック"/>
        <family val="0"/>
      </rPr>
      <t>R</t>
    </r>
    <r>
      <rPr>
        <sz val="11"/>
        <rFont val="ＭＳ Ｐゴシック"/>
        <family val="0"/>
      </rPr>
      <t>%</t>
    </r>
  </si>
  <si>
    <r>
      <t>≦σ</t>
    </r>
    <r>
      <rPr>
        <vertAlign val="subscript"/>
        <sz val="10"/>
        <rFont val="ＭＳ Ｐゴシック"/>
        <family val="0"/>
      </rPr>
      <t>**</t>
    </r>
    <r>
      <rPr>
        <sz val="11"/>
        <rFont val="ＭＳ Ｐゴシック"/>
        <family val="0"/>
      </rPr>
      <t>≦</t>
    </r>
  </si>
  <si>
    <r>
      <t>　　V</t>
    </r>
    <r>
      <rPr>
        <sz val="9"/>
        <rFont val="ＭＳ Ｐゴシック"/>
        <family val="0"/>
      </rPr>
      <t>A</t>
    </r>
    <r>
      <rPr>
        <sz val="11"/>
        <rFont val="ＭＳ Ｐゴシック"/>
        <family val="0"/>
      </rPr>
      <t>：要因Aの分散＝S</t>
    </r>
    <r>
      <rPr>
        <sz val="9"/>
        <rFont val="ＭＳ Ｐゴシック"/>
        <family val="0"/>
      </rPr>
      <t>A</t>
    </r>
    <r>
      <rPr>
        <sz val="11"/>
        <rFont val="ＭＳ Ｐゴシック"/>
        <family val="0"/>
      </rPr>
      <t>／φ</t>
    </r>
    <r>
      <rPr>
        <sz val="9"/>
        <rFont val="ＭＳ Ｐゴシック"/>
        <family val="0"/>
      </rPr>
      <t>A</t>
    </r>
  </si>
  <si>
    <t>　　Ve：誤差eの分散＝Se／φe</t>
  </si>
  <si>
    <r>
      <t>Ｑ</t>
    </r>
    <r>
      <rPr>
        <vertAlign val="subscript"/>
        <sz val="11"/>
        <rFont val="ＭＳ Ｐゴシック"/>
        <family val="0"/>
      </rPr>
      <t>T</t>
    </r>
    <r>
      <rPr>
        <sz val="11"/>
        <rFont val="ＭＳ Ｐゴシック"/>
        <family val="0"/>
      </rPr>
      <t>：ピーク面積比</t>
    </r>
  </si>
  <si>
    <r>
      <t>Q</t>
    </r>
    <r>
      <rPr>
        <vertAlign val="subscript"/>
        <sz val="11"/>
        <rFont val="ＭＳ Ｐゴシック"/>
        <family val="0"/>
      </rPr>
      <t>S</t>
    </r>
    <r>
      <rPr>
        <sz val="11"/>
        <rFont val="ＭＳ Ｐゴシック"/>
        <family val="0"/>
      </rPr>
      <t>:標準溶液のピーク面積比＝</t>
    </r>
  </si>
  <si>
    <t>内標準物質ピーク面積：　</t>
  </si>
  <si>
    <t>分散分析: 一元配置</t>
  </si>
  <si>
    <t>データの個数</t>
  </si>
  <si>
    <t>80%</t>
  </si>
  <si>
    <t>100%</t>
  </si>
  <si>
    <t>120%</t>
  </si>
  <si>
    <t>添加率（%）</t>
  </si>
  <si>
    <t>試行回数</t>
  </si>
  <si>
    <t>項目</t>
  </si>
  <si>
    <t>実施方法</t>
  </si>
  <si>
    <t>評価方法</t>
  </si>
  <si>
    <t>評価水準</t>
  </si>
  <si>
    <t>0.99以上</t>
  </si>
  <si>
    <t>100%溶液のﾚｽﾎﾟﾝｽ値の4%以下</t>
  </si>
  <si>
    <t>相関係数</t>
  </si>
  <si>
    <t>検量線の式
　ｙ切片の絶対値</t>
  </si>
  <si>
    <t>最小二乗法
横軸：含量５点
縦軸：　ﾋﾟｰｸ面積比</t>
  </si>
  <si>
    <t>結果</t>
  </si>
  <si>
    <t>判定</t>
  </si>
  <si>
    <t>直進性</t>
  </si>
  <si>
    <t>真度</t>
  </si>
  <si>
    <t>添加回収実験
3濃度
3回繰返し</t>
  </si>
  <si>
    <t>個々の回収率</t>
  </si>
  <si>
    <t>97～103%</t>
  </si>
  <si>
    <t>0が真度の信頼区間に含まれる</t>
  </si>
  <si>
    <t>真度の信頼区間</t>
  </si>
  <si>
    <t>室内再現性</t>
  </si>
  <si>
    <t>特異性</t>
  </si>
  <si>
    <t>3濃度3回繰返し</t>
  </si>
  <si>
    <t>相対標準偏差</t>
  </si>
  <si>
    <t>2.0%以下</t>
  </si>
  <si>
    <t>併行精度</t>
  </si>
  <si>
    <t>1濃度2回繰返し6日間
　[変動要因]
　　　試験日（6日）
　　　試験者（２名）
　　　試験装置（２装置）
　　　試薬（２ロット）</t>
  </si>
  <si>
    <t>相対標準偏差
一元配置分散分析</t>
  </si>
  <si>
    <t>検体A：　水
検体B:　水＋内標準物質
検体C:　プラセボ
検体D:　当該物質
検体E：　100%濃度液＋内標準物質
1回</t>
  </si>
  <si>
    <t>クロマトグラムの比較</t>
  </si>
  <si>
    <t>分析対象物（当該物質）を確認でき、
妨害ピークと重ならない</t>
  </si>
  <si>
    <t>システム適合性
　　性能</t>
  </si>
  <si>
    <t>　　再現性</t>
  </si>
  <si>
    <t>１濃度（100%）</t>
  </si>
  <si>
    <t>分離度</t>
  </si>
  <si>
    <t>2.0以上</t>
  </si>
  <si>
    <t>6回繰返し</t>
  </si>
  <si>
    <t>1.0%以下</t>
  </si>
  <si>
    <t>範囲</t>
  </si>
  <si>
    <t>直線性、真度及び精度の
試験結果より評価する</t>
  </si>
  <si>
    <t>直線性：相関係数</t>
  </si>
  <si>
    <t>真度　　：回収率</t>
  </si>
  <si>
    <t>併行精度：相対標準偏差</t>
  </si>
  <si>
    <t>変更前後の
試験法の比較</t>
  </si>
  <si>
    <t>製品３ロット
３回繰返し</t>
  </si>
  <si>
    <t>変動要因
　ロット</t>
  </si>
  <si>
    <t>　試験方法</t>
  </si>
  <si>
    <t>二元配置分散分析による
有意差検定</t>
  </si>
  <si>
    <t>有意水準（0.05）</t>
  </si>
  <si>
    <t>ロット間の分散比FA</t>
  </si>
  <si>
    <t>試験間の分散比FB</t>
  </si>
  <si>
    <t>FA=3.89以下</t>
  </si>
  <si>
    <t>FB=4.75以下</t>
  </si>
  <si>
    <t>1濃度2回繰返し6日間</t>
  </si>
  <si>
    <t>80～120%の範囲内で評価水準適合
r=0.99以上</t>
  </si>
  <si>
    <t>項目：成分A</t>
  </si>
  <si>
    <t>項目：成分A</t>
  </si>
  <si>
    <t>成分A</t>
  </si>
  <si>
    <t>成分A秤取量(g)：</t>
  </si>
  <si>
    <t>成分A含量(w/v%)= (成分Aの秤取量／100)×(χ／50)×100</t>
  </si>
  <si>
    <t>成分Aの秤取量に水を加えて正確に100mLとする。</t>
  </si>
  <si>
    <t>成分A添加量（w/v%）</t>
  </si>
  <si>
    <t>成分A含量（w/v%）</t>
  </si>
  <si>
    <t>成分Aピーク面積</t>
  </si>
  <si>
    <t>内標準成分ピーク面積</t>
  </si>
  <si>
    <t>回収率（％）＝（成分A含量（w/v%）／WT）×100</t>
  </si>
  <si>
    <t>成分A採取量（g）=</t>
  </si>
  <si>
    <t>WT:成分A添加量（w/v%）＝成分A採取量（g）×χ／100</t>
  </si>
  <si>
    <t>成分A含量（w/v%）＝WS×ＱT／ＱS</t>
  </si>
  <si>
    <t>WS:定量用成分Aの量(g)＝</t>
  </si>
  <si>
    <t>（＝成分Aピーク面積／内標準物質ピーク面積）</t>
  </si>
  <si>
    <t>成分Aピーク面積：　</t>
  </si>
  <si>
    <t>成分A含量（w/v%）＝定量用成分Aの量(g)×ＱT／ＱS</t>
  </si>
  <si>
    <t>成分A含量（w/v%）</t>
  </si>
  <si>
    <t>対表示量(%)＝成分A含量(w/v%)／2.2×100</t>
  </si>
  <si>
    <r>
      <rPr>
        <sz val="11"/>
        <color indexed="12"/>
        <rFont val="ＭＳ Ｐゴシック"/>
        <family val="0"/>
      </rPr>
      <t>室内再現精度</t>
    </r>
    <r>
      <rPr>
        <sz val="11"/>
        <rFont val="ＭＳ Ｐゴシック"/>
        <family val="0"/>
      </rPr>
      <t>σの信頼区間</t>
    </r>
  </si>
  <si>
    <t>自由度</t>
  </si>
  <si>
    <r>
      <t>相対標準偏差
S</t>
    </r>
    <r>
      <rPr>
        <vertAlign val="subscript"/>
        <sz val="11"/>
        <rFont val="ＭＳ Ｐゴシック"/>
        <family val="0"/>
      </rPr>
      <t>R</t>
    </r>
    <r>
      <rPr>
        <sz val="11"/>
        <rFont val="ＭＳ Ｐゴシック"/>
        <family val="0"/>
      </rPr>
      <t>(%)</t>
    </r>
  </si>
  <si>
    <t>標準偏差σ</t>
  </si>
  <si>
    <r>
      <t>φ</t>
    </r>
    <r>
      <rPr>
        <vertAlign val="subscript"/>
        <sz val="11"/>
        <rFont val="ＭＳ Ｐゴシック"/>
        <family val="0"/>
      </rPr>
      <t>A</t>
    </r>
  </si>
  <si>
    <r>
      <t>φ</t>
    </r>
    <r>
      <rPr>
        <vertAlign val="subscript"/>
        <sz val="11"/>
        <rFont val="ＭＳ Ｐゴシック"/>
        <family val="0"/>
      </rPr>
      <t>B</t>
    </r>
  </si>
  <si>
    <r>
      <t>V</t>
    </r>
    <r>
      <rPr>
        <vertAlign val="subscript"/>
        <sz val="11"/>
        <rFont val="ＭＳ Ｐゴシック"/>
        <family val="0"/>
      </rPr>
      <t>A</t>
    </r>
  </si>
  <si>
    <r>
      <t>V</t>
    </r>
    <r>
      <rPr>
        <vertAlign val="subscript"/>
        <sz val="11"/>
        <rFont val="ＭＳ Ｐゴシック"/>
        <family val="0"/>
      </rPr>
      <t>e</t>
    </r>
  </si>
  <si>
    <r>
      <t>V=σ</t>
    </r>
    <r>
      <rPr>
        <vertAlign val="superscript"/>
        <sz val="11"/>
        <rFont val="ＭＳ Ｐゴシック"/>
        <family val="0"/>
      </rPr>
      <t>２</t>
    </r>
  </si>
  <si>
    <t>φ</t>
  </si>
  <si>
    <t>χ(φe,α/2)</t>
  </si>
  <si>
    <t>χ(φe,1-α/2)</t>
  </si>
  <si>
    <t>自由度（φ）</t>
  </si>
  <si>
    <t>自由度
 φ</t>
  </si>
  <si>
    <t>標準偏差の信頼区間（90%）</t>
  </si>
  <si>
    <r>
      <t>ピーク面積比Ｑ</t>
    </r>
    <r>
      <rPr>
        <b/>
        <vertAlign val="subscript"/>
        <sz val="10"/>
        <rFont val="ＭＳ Ｐゴシック"/>
        <family val="0"/>
      </rPr>
      <t>S</t>
    </r>
  </si>
  <si>
    <r>
      <t>ピーク面積比Ｑ</t>
    </r>
    <r>
      <rPr>
        <b/>
        <vertAlign val="subscript"/>
        <sz val="10"/>
        <rFont val="ＭＳ Ｐゴシック"/>
        <family val="0"/>
      </rPr>
      <t>T</t>
    </r>
  </si>
  <si>
    <t>r=1.000</t>
  </si>
  <si>
    <t>適合</t>
  </si>
  <si>
    <t>0.0197≦0.0327</t>
  </si>
  <si>
    <t>97〜103%に
含まれる</t>
  </si>
  <si>
    <t>− 0.4526≤_xD835__xDEFF_≤0.2526
0が含まれる</t>
  </si>
  <si>
    <t>相対標準偏差 0.20%</t>
  </si>
  <si>
    <t>相対標準偏差 0.14%</t>
  </si>
  <si>
    <t>相対標準偏差 0.23%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</si>
</sst>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_);[Red]\(0.00\)"/>
    <numFmt numFmtId="178" formatCode="0.0"/>
    <numFmt numFmtId="179" formatCode="0.0_ "/>
    <numFmt numFmtId="180" formatCode="0_ "/>
    <numFmt numFmtId="181" formatCode="0_);[Red]\(0\)"/>
    <numFmt numFmtId="182" formatCode="0.00000"/>
    <numFmt numFmtId="183" formatCode="0.0000"/>
    <numFmt numFmtId="184" formatCode="0.000000"/>
    <numFmt numFmtId="185" formatCode="0.0_);[Red]\(0.0\)"/>
    <numFmt numFmtId="186" formatCode="0.0000000"/>
    <numFmt numFmtId="187" formatCode="0.000_);[Red]\(0.000\)"/>
    <numFmt numFmtId="188" formatCode="0.0000_);[Red]\(0.0000\)"/>
    <numFmt numFmtId="189" formatCode="0.000_ "/>
    <numFmt numFmtId="190" formatCode="0.0000_ "/>
    <numFmt numFmtId="191" formatCode="0.00_ "/>
    <numFmt numFmtId="192" formatCode="0.00000_ "/>
    <numFmt numFmtId="193" formatCode="0.00000_);[Red]\(0.00000\)"/>
    <numFmt numFmtId="194" formatCode="0.00000000"/>
    <numFmt numFmtId="195" formatCode="&quot;ブドウ糖の採取量(g)＝&quot;0.0000"/>
    <numFmt numFmtId="196" formatCode="&quot;定量用ブドウ糖の量(g)＝&quot;0.0000"/>
    <numFmt numFmtId="197" formatCode="&quot;ブドウ糖の採取量(g)＝&quot;0.00000"/>
    <numFmt numFmtId="198" formatCode="&quot;定量用ブドウ糖の量(g)＝&quot;0.00000"/>
    <numFmt numFmtId="199" formatCode="0.0000000_ "/>
    <numFmt numFmtId="200" formatCode="0.000000_ "/>
    <numFmt numFmtId="201" formatCode="0.0000000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&quot;物質Aの採取量(g)＝&quot;0.00000"/>
    <numFmt numFmtId="206" formatCode="&quot;定量用物質Aの量(g)＝&quot;0.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定量用成分Aの量(g)＝&quot;0.00000"/>
  </numFmts>
  <fonts count="69">
    <font>
      <sz val="11"/>
      <name val="ＭＳ 明朝"/>
      <family val="0"/>
    </font>
    <font>
      <sz val="6"/>
      <name val="ＭＳ Ｐ明朝"/>
      <family val="0"/>
    </font>
    <font>
      <b/>
      <sz val="11"/>
      <name val="ＭＳ Ｐゴシック"/>
      <family val="0"/>
    </font>
    <font>
      <sz val="6"/>
      <name val="ＭＳ Ｐゴシック"/>
      <family val="0"/>
    </font>
    <font>
      <sz val="11"/>
      <color indexed="10"/>
      <name val="ＭＳ Ｐゴシック"/>
      <family val="0"/>
    </font>
    <font>
      <u val="single"/>
      <sz val="11"/>
      <color indexed="12"/>
      <name val="ＭＳ 明朝"/>
      <family val="0"/>
    </font>
    <font>
      <u val="single"/>
      <sz val="11"/>
      <color indexed="36"/>
      <name val="ＭＳ 明朝"/>
      <family val="0"/>
    </font>
    <font>
      <vertAlign val="subscript"/>
      <sz val="11"/>
      <name val="ＭＳ Ｐゴシック"/>
      <family val="0"/>
    </font>
    <font>
      <vertAlign val="superscript"/>
      <sz val="11"/>
      <name val="ＭＳ Ｐゴシック"/>
      <family val="0"/>
    </font>
    <font>
      <sz val="14"/>
      <name val="ＭＳ Ｐゴシック"/>
      <family val="0"/>
    </font>
    <font>
      <sz val="11"/>
      <name val="ＭＳ Ｐゴシック"/>
      <family val="0"/>
    </font>
    <font>
      <sz val="12"/>
      <name val="ＭＳ Ｐゴシック"/>
      <family val="0"/>
    </font>
    <font>
      <sz val="10"/>
      <name val="ＭＳ Ｐゴシック"/>
      <family val="0"/>
    </font>
    <font>
      <vertAlign val="subscript"/>
      <sz val="10"/>
      <name val="ＭＳ Ｐゴシック"/>
      <family val="0"/>
    </font>
    <font>
      <sz val="8"/>
      <name val="ＭＳ Ｐゴシック"/>
      <family val="0"/>
    </font>
    <font>
      <sz val="10.8"/>
      <name val="ＭＳ Ｐゴシック"/>
      <family val="0"/>
    </font>
    <font>
      <sz val="9"/>
      <name val="ＭＳ Ｐゴシック"/>
      <family val="0"/>
    </font>
    <font>
      <sz val="6"/>
      <name val="ＭＳ 明朝"/>
      <family val="0"/>
    </font>
    <font>
      <sz val="11"/>
      <color indexed="12"/>
      <name val="ＭＳ Ｐゴシック"/>
      <family val="0"/>
    </font>
    <font>
      <b/>
      <sz val="10"/>
      <name val="ＭＳ Ｐゴシック"/>
      <family val="0"/>
    </font>
    <font>
      <b/>
      <vertAlign val="subscript"/>
      <sz val="10"/>
      <name val="ＭＳ Ｐゴシック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8"/>
      <color indexed="54"/>
      <name val="游ゴシック Light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indexed="52"/>
      <name val="ＭＳ Ｐゴシック"/>
      <family val="0"/>
    </font>
    <font>
      <sz val="12"/>
      <color indexed="20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sz val="9.25"/>
      <color indexed="8"/>
      <name val="ＭＳ Ｐゴシック"/>
      <family val="0"/>
    </font>
    <font>
      <sz val="11"/>
      <color indexed="8"/>
      <name val="ＭＳ Ｐゴシック"/>
      <family val="0"/>
    </font>
    <font>
      <sz val="10.25"/>
      <color indexed="8"/>
      <name val="ＭＳ Ｐゴシック"/>
      <family val="0"/>
    </font>
    <font>
      <sz val="16"/>
      <color indexed="8"/>
      <name val="Cambria Math"/>
      <family val="0"/>
    </font>
    <font>
      <sz val="16"/>
      <color indexed="8"/>
      <name val="+mn-lt"/>
      <family val="0"/>
    </font>
    <font>
      <sz val="16"/>
      <color indexed="12"/>
      <name val="Cambria Math"/>
      <family val="0"/>
    </font>
    <font>
      <sz val="11"/>
      <color indexed="8"/>
      <name val="ＭＳ 明朝"/>
      <family val="0"/>
    </font>
    <font>
      <sz val="12"/>
      <color indexed="12"/>
      <name val="ＭＳ Ｐゴシック"/>
      <family val="0"/>
    </font>
    <font>
      <sz val="12"/>
      <color indexed="12"/>
      <name val="Cambria Math"/>
      <family val="0"/>
    </font>
    <font>
      <sz val="12"/>
      <color indexed="8"/>
      <name val="Cambria Math"/>
      <family val="0"/>
    </font>
    <font>
      <b/>
      <sz val="12"/>
      <color indexed="8"/>
      <name val="Cambria Math"/>
      <family val="0"/>
    </font>
    <font>
      <sz val="12"/>
      <color indexed="8"/>
      <name val="+mn-ea"/>
      <family val="0"/>
    </font>
    <font>
      <sz val="11"/>
      <name val="MS-PGothic"/>
      <family val="0"/>
    </font>
    <font>
      <sz val="12"/>
      <color theme="1"/>
      <name val="ＭＳ Ｐゴシック"/>
      <family val="0"/>
    </font>
    <font>
      <sz val="12"/>
      <color theme="0"/>
      <name val="ＭＳ Ｐゴシック"/>
      <family val="0"/>
    </font>
    <font>
      <sz val="18"/>
      <color theme="3"/>
      <name val="Calibri Light"/>
      <family val="0"/>
    </font>
    <font>
      <b/>
      <sz val="12"/>
      <color theme="0"/>
      <name val="ＭＳ Ｐゴシック"/>
      <family val="0"/>
    </font>
    <font>
      <sz val="12"/>
      <color rgb="FF9C5700"/>
      <name val="ＭＳ Ｐゴシック"/>
      <family val="0"/>
    </font>
    <font>
      <sz val="12"/>
      <color rgb="FFFA7D00"/>
      <name val="ＭＳ Ｐゴシック"/>
      <family val="0"/>
    </font>
    <font>
      <sz val="12"/>
      <color rgb="FF9C0006"/>
      <name val="ＭＳ Ｐゴシック"/>
      <family val="0"/>
    </font>
    <font>
      <b/>
      <sz val="12"/>
      <color rgb="FFFA7D00"/>
      <name val="ＭＳ Ｐゴシック"/>
      <family val="0"/>
    </font>
    <font>
      <sz val="12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2"/>
      <color theme="1"/>
      <name val="ＭＳ Ｐゴシック"/>
      <family val="0"/>
    </font>
    <font>
      <b/>
      <sz val="12"/>
      <color rgb="FF3F3F3F"/>
      <name val="ＭＳ Ｐゴシック"/>
      <family val="0"/>
    </font>
    <font>
      <i/>
      <sz val="12"/>
      <color rgb="FF7F7F7F"/>
      <name val="ＭＳ Ｐゴシック"/>
      <family val="0"/>
    </font>
    <font>
      <sz val="12"/>
      <color rgb="FF3F3F76"/>
      <name val="ＭＳ Ｐゴシック"/>
      <family val="0"/>
    </font>
    <font>
      <sz val="12"/>
      <color rgb="FF006100"/>
      <name val="ＭＳ Ｐゴシック"/>
      <family val="0"/>
    </font>
    <font>
      <sz val="12"/>
      <color rgb="FF000000"/>
      <name val="ＭＳ Ｐ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9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78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 quotePrefix="1">
      <alignment horizontal="center"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183" fontId="10" fillId="33" borderId="10" xfId="0" applyNumberFormat="1" applyFont="1" applyFill="1" applyBorder="1" applyAlignment="1">
      <alignment horizontal="center"/>
    </xf>
    <xf numFmtId="178" fontId="10" fillId="33" borderId="10" xfId="0" applyNumberFormat="1" applyFont="1" applyFill="1" applyBorder="1" applyAlignment="1">
      <alignment/>
    </xf>
    <xf numFmtId="178" fontId="10" fillId="33" borderId="11" xfId="0" applyNumberFormat="1" applyFont="1" applyFill="1" applyBorder="1" applyAlignment="1">
      <alignment/>
    </xf>
    <xf numFmtId="183" fontId="10" fillId="33" borderId="12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182" fontId="10" fillId="33" borderId="0" xfId="0" applyNumberFormat="1" applyFont="1" applyFill="1" applyAlignment="1">
      <alignment/>
    </xf>
    <xf numFmtId="195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183" fontId="10" fillId="33" borderId="0" xfId="0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178" fontId="10" fillId="33" borderId="15" xfId="0" applyNumberFormat="1" applyFont="1" applyFill="1" applyBorder="1" applyAlignment="1">
      <alignment/>
    </xf>
    <xf numFmtId="183" fontId="10" fillId="33" borderId="15" xfId="0" applyNumberFormat="1" applyFont="1" applyFill="1" applyBorder="1" applyAlignment="1">
      <alignment/>
    </xf>
    <xf numFmtId="183" fontId="10" fillId="33" borderId="0" xfId="0" applyNumberFormat="1" applyFont="1" applyFill="1" applyAlignment="1">
      <alignment/>
    </xf>
    <xf numFmtId="183" fontId="10" fillId="33" borderId="14" xfId="0" applyNumberFormat="1" applyFont="1" applyFill="1" applyBorder="1" applyAlignment="1">
      <alignment horizontal="center"/>
    </xf>
    <xf numFmtId="176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10" fillId="33" borderId="16" xfId="0" applyFont="1" applyFill="1" applyBorder="1" applyAlignment="1">
      <alignment/>
    </xf>
    <xf numFmtId="178" fontId="10" fillId="33" borderId="10" xfId="0" applyNumberFormat="1" applyFont="1" applyFill="1" applyBorder="1" applyAlignment="1">
      <alignment horizontal="center"/>
    </xf>
    <xf numFmtId="192" fontId="10" fillId="33" borderId="10" xfId="0" applyNumberFormat="1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83" fontId="10" fillId="33" borderId="19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83" fontId="10" fillId="33" borderId="20" xfId="0" applyNumberFormat="1" applyFont="1" applyFill="1" applyBorder="1" applyAlignment="1">
      <alignment horizontal="left"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182" fontId="10" fillId="33" borderId="15" xfId="0" applyNumberFormat="1" applyFont="1" applyFill="1" applyBorder="1" applyAlignment="1">
      <alignment/>
    </xf>
    <xf numFmtId="0" fontId="68" fillId="0" borderId="24" xfId="0" applyFont="1" applyBorder="1" applyAlignment="1">
      <alignment horizontal="center" vertical="center" wrapText="1" readingOrder="1"/>
    </xf>
    <xf numFmtId="0" fontId="68" fillId="0" borderId="24" xfId="0" applyFont="1" applyBorder="1" applyAlignment="1">
      <alignment horizontal="left" vertical="center" wrapText="1" readingOrder="1"/>
    </xf>
    <xf numFmtId="0" fontId="11" fillId="0" borderId="24" xfId="0" applyFont="1" applyBorder="1" applyAlignment="1">
      <alignment vertical="top" wrapText="1"/>
    </xf>
    <xf numFmtId="0" fontId="11" fillId="0" borderId="0" xfId="0" applyFont="1" applyAlignment="1">
      <alignment/>
    </xf>
    <xf numFmtId="0" fontId="10" fillId="0" borderId="24" xfId="0" applyFont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 wrapText="1" readingOrder="1"/>
    </xf>
    <xf numFmtId="0" fontId="11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vertical="top"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24" xfId="0" applyFont="1" applyBorder="1" applyAlignment="1">
      <alignment vertical="top"/>
    </xf>
    <xf numFmtId="0" fontId="11" fillId="0" borderId="26" xfId="0" applyFont="1" applyBorder="1" applyAlignment="1">
      <alignment wrapText="1"/>
    </xf>
    <xf numFmtId="0" fontId="10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4" xfId="0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10" xfId="0" applyNumberFormat="1" applyFont="1" applyFill="1" applyBorder="1" applyAlignment="1">
      <alignment horizontal="center"/>
    </xf>
    <xf numFmtId="190" fontId="10" fillId="33" borderId="1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183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190" fontId="10" fillId="33" borderId="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83" fontId="10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76" fontId="10" fillId="33" borderId="0" xfId="0" applyNumberFormat="1" applyFont="1" applyFill="1" applyBorder="1" applyAlignment="1">
      <alignment horizontal="center"/>
    </xf>
    <xf numFmtId="182" fontId="10" fillId="33" borderId="12" xfId="0" applyNumberFormat="1" applyFont="1" applyFill="1" applyBorder="1" applyAlignment="1">
      <alignment horizontal="left"/>
    </xf>
    <xf numFmtId="0" fontId="10" fillId="33" borderId="13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183" fontId="10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" fontId="10" fillId="33" borderId="10" xfId="0" applyNumberFormat="1" applyFont="1" applyFill="1" applyBorder="1" applyAlignment="1">
      <alignment horizontal="right"/>
    </xf>
    <xf numFmtId="2" fontId="10" fillId="33" borderId="11" xfId="0" applyNumberFormat="1" applyFont="1" applyFill="1" applyBorder="1" applyAlignment="1">
      <alignment horizontal="right"/>
    </xf>
    <xf numFmtId="176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183" fontId="10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>
      <alignment/>
    </xf>
    <xf numFmtId="197" fontId="10" fillId="33" borderId="0" xfId="0" applyNumberFormat="1" applyFont="1" applyFill="1" applyAlignment="1">
      <alignment horizontal="left"/>
    </xf>
    <xf numFmtId="182" fontId="10" fillId="33" borderId="0" xfId="0" applyNumberFormat="1" applyFont="1" applyFill="1" applyBorder="1" applyAlignment="1">
      <alignment/>
    </xf>
    <xf numFmtId="176" fontId="10" fillId="33" borderId="15" xfId="0" applyNumberFormat="1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vertical="center"/>
    </xf>
    <xf numFmtId="0" fontId="68" fillId="0" borderId="24" xfId="0" applyFont="1" applyBorder="1" applyAlignment="1">
      <alignment horizontal="left" vertical="center" wrapText="1" readingOrder="1"/>
    </xf>
    <xf numFmtId="0" fontId="68" fillId="0" borderId="24" xfId="0" applyFont="1" applyBorder="1" applyAlignment="1">
      <alignment horizontal="center" vertical="center" wrapText="1" readingOrder="1"/>
    </xf>
    <xf numFmtId="176" fontId="10" fillId="34" borderId="0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10" fillId="1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81" fontId="10" fillId="33" borderId="0" xfId="0" applyNumberFormat="1" applyFont="1" applyFill="1" applyBorder="1" applyAlignment="1">
      <alignment horizontal="center"/>
    </xf>
    <xf numFmtId="187" fontId="10" fillId="33" borderId="0" xfId="0" applyNumberFormat="1" applyFont="1" applyFill="1" applyBorder="1" applyAlignment="1">
      <alignment horizontal="center"/>
    </xf>
    <xf numFmtId="183" fontId="10" fillId="33" borderId="10" xfId="0" applyNumberFormat="1" applyFont="1" applyFill="1" applyBorder="1" applyAlignment="1">
      <alignment vertical="center"/>
    </xf>
    <xf numFmtId="190" fontId="10" fillId="33" borderId="10" xfId="0" applyNumberFormat="1" applyFont="1" applyFill="1" applyBorder="1" applyAlignment="1">
      <alignment vertical="center"/>
    </xf>
    <xf numFmtId="179" fontId="10" fillId="33" borderId="10" xfId="0" applyNumberFormat="1" applyFont="1" applyFill="1" applyBorder="1" applyAlignment="1">
      <alignment vertical="center"/>
    </xf>
    <xf numFmtId="181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79" fontId="10" fillId="33" borderId="10" xfId="0" applyNumberFormat="1" applyFont="1" applyFill="1" applyBorder="1" applyAlignment="1">
      <alignment/>
    </xf>
    <xf numFmtId="189" fontId="10" fillId="33" borderId="0" xfId="0" applyNumberFormat="1" applyFont="1" applyFill="1" applyBorder="1" applyAlignment="1">
      <alignment/>
    </xf>
    <xf numFmtId="18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176" fontId="4" fillId="33" borderId="0" xfId="0" applyNumberFormat="1" applyFont="1" applyFill="1" applyBorder="1" applyAlignment="1">
      <alignment horizontal="center"/>
    </xf>
    <xf numFmtId="178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top" textRotation="255"/>
    </xf>
    <xf numFmtId="0" fontId="1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191" fontId="10" fillId="33" borderId="0" xfId="0" applyNumberFormat="1" applyFont="1" applyFill="1" applyAlignment="1">
      <alignment/>
    </xf>
    <xf numFmtId="187" fontId="10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Alignment="1">
      <alignment/>
    </xf>
    <xf numFmtId="0" fontId="10" fillId="33" borderId="0" xfId="0" applyFont="1" applyFill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10" fillId="9" borderId="0" xfId="0" applyFont="1" applyFill="1" applyBorder="1" applyAlignment="1">
      <alignment/>
    </xf>
    <xf numFmtId="183" fontId="10" fillId="34" borderId="10" xfId="0" applyNumberFormat="1" applyFont="1" applyFill="1" applyBorder="1" applyAlignment="1">
      <alignment vertical="center"/>
    </xf>
    <xf numFmtId="0" fontId="10" fillId="12" borderId="10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183" fontId="10" fillId="33" borderId="0" xfId="0" applyNumberFormat="1" applyFont="1" applyFill="1" applyAlignment="1">
      <alignment horizontal="right" vertical="center"/>
    </xf>
    <xf numFmtId="0" fontId="10" fillId="33" borderId="0" xfId="0" applyFont="1" applyFill="1" applyAlignment="1">
      <alignment horizontal="center" vertical="center"/>
    </xf>
    <xf numFmtId="179" fontId="10" fillId="33" borderId="10" xfId="0" applyNumberFormat="1" applyFont="1" applyFill="1" applyBorder="1" applyAlignment="1">
      <alignment horizontal="right"/>
    </xf>
    <xf numFmtId="180" fontId="10" fillId="33" borderId="10" xfId="0" applyNumberFormat="1" applyFont="1" applyFill="1" applyBorder="1" applyAlignment="1">
      <alignment horizontal="right"/>
    </xf>
    <xf numFmtId="178" fontId="10" fillId="33" borderId="10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vertical="center"/>
    </xf>
    <xf numFmtId="183" fontId="10" fillId="33" borderId="13" xfId="0" applyNumberFormat="1" applyFont="1" applyFill="1" applyBorder="1" applyAlignment="1">
      <alignment horizontal="right" vertical="center" wrapText="1"/>
    </xf>
    <xf numFmtId="183" fontId="10" fillId="33" borderId="28" xfId="0" applyNumberFormat="1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vertical="center"/>
    </xf>
    <xf numFmtId="0" fontId="68" fillId="0" borderId="24" xfId="0" applyFont="1" applyBorder="1" applyAlignment="1">
      <alignment horizontal="left" vertical="center" wrapText="1" readingOrder="1"/>
    </xf>
    <xf numFmtId="0" fontId="68" fillId="0" borderId="24" xfId="0" applyFont="1" applyBorder="1" applyAlignment="1">
      <alignment horizontal="center" vertical="center" wrapText="1" readingOrder="1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176" fontId="10" fillId="33" borderId="10" xfId="0" applyNumberFormat="1" applyFont="1" applyFill="1" applyBorder="1" applyAlignment="1">
      <alignment horizontal="center"/>
    </xf>
    <xf numFmtId="183" fontId="10" fillId="33" borderId="10" xfId="0" applyNumberFormat="1" applyFont="1" applyFill="1" applyBorder="1" applyAlignment="1">
      <alignment horizontal="center"/>
    </xf>
    <xf numFmtId="183" fontId="10" fillId="33" borderId="13" xfId="0" applyNumberFormat="1" applyFont="1" applyFill="1" applyBorder="1" applyAlignment="1">
      <alignment horizontal="center" vertical="center"/>
    </xf>
    <xf numFmtId="183" fontId="10" fillId="33" borderId="28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183" fontId="10" fillId="33" borderId="11" xfId="0" applyNumberFormat="1" applyFont="1" applyFill="1" applyBorder="1" applyAlignment="1">
      <alignment horizontal="center" vertical="center"/>
    </xf>
    <xf numFmtId="183" fontId="10" fillId="33" borderId="30" xfId="0" applyNumberFormat="1" applyFont="1" applyFill="1" applyBorder="1" applyAlignment="1">
      <alignment horizontal="center" vertical="center"/>
    </xf>
    <xf numFmtId="183" fontId="10" fillId="33" borderId="27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183" fontId="10" fillId="33" borderId="10" xfId="0" applyNumberFormat="1" applyFont="1" applyFill="1" applyBorder="1" applyAlignment="1">
      <alignment horizontal="center" vertical="center"/>
    </xf>
    <xf numFmtId="183" fontId="10" fillId="33" borderId="18" xfId="0" applyNumberFormat="1" applyFont="1" applyFill="1" applyBorder="1" applyAlignment="1">
      <alignment horizontal="left" vertical="center"/>
    </xf>
    <xf numFmtId="183" fontId="10" fillId="33" borderId="23" xfId="0" applyNumberFormat="1" applyFont="1" applyFill="1" applyBorder="1" applyAlignment="1">
      <alignment horizontal="left" vertical="center"/>
    </xf>
    <xf numFmtId="183" fontId="10" fillId="33" borderId="17" xfId="0" applyNumberFormat="1" applyFont="1" applyFill="1" applyBorder="1" applyAlignment="1">
      <alignment vertical="center"/>
    </xf>
    <xf numFmtId="183" fontId="10" fillId="33" borderId="21" xfId="0" applyNumberFormat="1" applyFont="1" applyFill="1" applyBorder="1" applyAlignment="1">
      <alignment vertical="center"/>
    </xf>
    <xf numFmtId="0" fontId="9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198" fontId="10" fillId="33" borderId="0" xfId="0" applyNumberFormat="1" applyFont="1" applyFill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9" fontId="10" fillId="33" borderId="13" xfId="0" applyNumberFormat="1" applyFont="1" applyFill="1" applyBorder="1" applyAlignment="1" quotePrefix="1">
      <alignment horizontal="center"/>
    </xf>
    <xf numFmtId="9" fontId="10" fillId="33" borderId="16" xfId="0" applyNumberFormat="1" applyFont="1" applyFill="1" applyBorder="1" applyAlignment="1" quotePrefix="1">
      <alignment horizontal="center"/>
    </xf>
    <xf numFmtId="9" fontId="10" fillId="33" borderId="28" xfId="0" applyNumberFormat="1" applyFont="1" applyFill="1" applyBorder="1" applyAlignment="1" quotePrefix="1">
      <alignment horizontal="center"/>
    </xf>
    <xf numFmtId="197" fontId="10" fillId="33" borderId="0" xfId="0" applyNumberFormat="1" applyFont="1" applyFill="1" applyAlignment="1">
      <alignment horizontal="left"/>
    </xf>
    <xf numFmtId="0" fontId="0" fillId="33" borderId="0" xfId="0" applyFill="1" applyAlignment="1">
      <alignment wrapText="1"/>
    </xf>
    <xf numFmtId="211" fontId="10" fillId="33" borderId="0" xfId="0" applyNumberFormat="1" applyFont="1" applyFill="1" applyAlignment="1">
      <alignment horizontal="left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textRotation="255"/>
    </xf>
    <xf numFmtId="0" fontId="10" fillId="33" borderId="30" xfId="0" applyFont="1" applyFill="1" applyBorder="1" applyAlignment="1">
      <alignment horizontal="center" vertical="center" textRotation="255"/>
    </xf>
    <xf numFmtId="0" fontId="10" fillId="33" borderId="13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10" fillId="33" borderId="28" xfId="0" applyFont="1" applyFill="1" applyBorder="1" applyAlignment="1">
      <alignment horizontal="right" vertical="center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10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wrapText="1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10" fillId="0" borderId="2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12925"/>
          <c:w val="0.792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backward val="1.7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y = 0.3624x + 0.0197
r = 1.000</a:t>
                    </a:r>
                  </a:p>
                </c:rich>
              </c:tx>
              <c:numFmt formatCode="General"/>
            </c:trendlineLbl>
          </c:trendline>
          <c:xVal>
            <c:numRef>
              <c:f>'直線性'!$B$10:$B$14</c:f>
              <c:numCache/>
            </c:numRef>
          </c:xVal>
          <c:yVal>
            <c:numRef>
              <c:f>'直線性'!$E$10:$E$14</c:f>
              <c:numCache/>
            </c:numRef>
          </c:yVal>
          <c:smooth val="0"/>
        </c:ser>
        <c:axId val="53613654"/>
        <c:axId val="12760839"/>
      </c:scatterChart>
      <c:valAx>
        <c:axId val="53613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成分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含量（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w/v%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760839"/>
        <c:crosses val="autoZero"/>
        <c:crossBetween val="midCat"/>
        <c:dispUnits/>
      </c:valAx>
      <c:valAx>
        <c:axId val="12760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ピーク面積比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6136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3</xdr:row>
      <xdr:rowOff>76200</xdr:rowOff>
    </xdr:from>
    <xdr:to>
      <xdr:col>10</xdr:col>
      <xdr:colOff>571500</xdr:colOff>
      <xdr:row>24</xdr:row>
      <xdr:rowOff>133350</xdr:rowOff>
    </xdr:to>
    <xdr:graphicFrame>
      <xdr:nvGraphicFramePr>
        <xdr:cNvPr id="1" name="グラフ 11"/>
        <xdr:cNvGraphicFramePr/>
      </xdr:nvGraphicFramePr>
      <xdr:xfrm>
        <a:off x="7743825" y="581025"/>
        <a:ext cx="50482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876300</xdr:colOff>
      <xdr:row>12</xdr:row>
      <xdr:rowOff>123825</xdr:rowOff>
    </xdr:from>
    <xdr:to>
      <xdr:col>20</xdr:col>
      <xdr:colOff>171450</xdr:colOff>
      <xdr:row>30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 flipV="1">
          <a:off x="13458825" y="2695575"/>
          <a:ext cx="5562600" cy="30194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123825</xdr:rowOff>
    </xdr:from>
    <xdr:to>
      <xdr:col>19</xdr:col>
      <xdr:colOff>733425</xdr:colOff>
      <xdr:row>30</xdr:row>
      <xdr:rowOff>85725</xdr:rowOff>
    </xdr:to>
    <xdr:sp>
      <xdr:nvSpPr>
        <xdr:cNvPr id="2" name="直線矢印コネクタ 4"/>
        <xdr:cNvSpPr>
          <a:spLocks/>
        </xdr:cNvSpPr>
      </xdr:nvSpPr>
      <xdr:spPr>
        <a:xfrm flipH="1" flipV="1">
          <a:off x="13458825" y="2524125"/>
          <a:ext cx="5248275" cy="32766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171450</xdr:colOff>
      <xdr:row>6</xdr:row>
      <xdr:rowOff>114300</xdr:rowOff>
    </xdr:from>
    <xdr:to>
      <xdr:col>15</xdr:col>
      <xdr:colOff>542925</xdr:colOff>
      <xdr:row>9</xdr:row>
      <xdr:rowOff>66675</xdr:rowOff>
    </xdr:to>
    <xdr:sp>
      <xdr:nvSpPr>
        <xdr:cNvPr id="3" name="テキスト ボックス 16"/>
        <xdr:cNvSpPr txBox="1">
          <a:spLocks noChangeArrowheads="1"/>
        </xdr:cNvSpPr>
      </xdr:nvSpPr>
      <xdr:spPr>
        <a:xfrm>
          <a:off x="10553700" y="1381125"/>
          <a:ext cx="34480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ϕ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V_e)/(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χ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ϕ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_e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α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/2)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≤</a:t>
          </a:r>
          <a:r>
            <a:rPr lang="en-US" cap="none" sz="1600" b="0" i="0" u="none" baseline="0">
              <a:solidFill>
                <a:srgbClr val="0000FF"/>
              </a:solidFill>
              <a:latin typeface="Cambria Math"/>
              <a:ea typeface="Cambria Math"/>
              <a:cs typeface="Cambria Math"/>
            </a:rPr>
            <a:t>σ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≤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ϕ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_e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V_e)/(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χ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 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ϕ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_e,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α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/2) )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40</xdr:row>
      <xdr:rowOff>161925</xdr:rowOff>
    </xdr:from>
    <xdr:to>
      <xdr:col>11</xdr:col>
      <xdr:colOff>371475</xdr:colOff>
      <xdr:row>41</xdr:row>
      <xdr:rowOff>171450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7362825" y="8086725"/>
          <a:ext cx="439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ただし、小数点以下は切り捨て）</a:t>
          </a:r>
        </a:p>
      </xdr:txBody>
    </xdr:sp>
    <xdr:clientData/>
  </xdr:twoCellAnchor>
  <xdr:twoCellAnchor>
    <xdr:from>
      <xdr:col>0</xdr:col>
      <xdr:colOff>0</xdr:colOff>
      <xdr:row>28</xdr:row>
      <xdr:rowOff>47625</xdr:rowOff>
    </xdr:from>
    <xdr:to>
      <xdr:col>3</xdr:col>
      <xdr:colOff>857250</xdr:colOff>
      <xdr:row>30</xdr:row>
      <xdr:rowOff>76200</xdr:rowOff>
    </xdr:to>
    <xdr:sp>
      <xdr:nvSpPr>
        <xdr:cNvPr id="2" name="テキスト ボックス 11"/>
        <xdr:cNvSpPr txBox="1">
          <a:spLocks noChangeArrowheads="1"/>
        </xdr:cNvSpPr>
      </xdr:nvSpPr>
      <xdr:spPr>
        <a:xfrm>
          <a:off x="0" y="5591175"/>
          <a:ext cx="31051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室内再現精度</a:t>
          </a:r>
          <a:r>
            <a:rPr lang="en-US" cap="none" sz="1200" b="0" i="0" u="none" baseline="0">
              <a:solidFill>
                <a:srgbClr val="0000FF"/>
              </a:solidFill>
              <a:latin typeface="Cambria Math"/>
              <a:ea typeface="Cambria Math"/>
              <a:cs typeface="Cambria Math"/>
            </a:rPr>
            <a:t>σ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=√(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V_A+(n-1) V_e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)/n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twoCellAnchor>
  <xdr:twoCellAnchor>
    <xdr:from>
      <xdr:col>3</xdr:col>
      <xdr:colOff>142875</xdr:colOff>
      <xdr:row>33</xdr:row>
      <xdr:rowOff>47625</xdr:rowOff>
    </xdr:from>
    <xdr:to>
      <xdr:col>5</xdr:col>
      <xdr:colOff>314325</xdr:colOff>
      <xdr:row>36</xdr:row>
      <xdr:rowOff>76200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2390775" y="6619875"/>
          <a:ext cx="2667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∅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V)/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χ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</a:t>
          </a:r>
          <a:r>
            <a:rPr lang="en-US" cap="none" sz="12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∅_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α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/2)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≤σ≤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(∅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V)/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χ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</a:t>
          </a:r>
          <a:r>
            <a:rPr lang="en-US" cap="none" sz="12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∅_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e,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α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/2) )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twoCellAnchor>
  <xdr:twoCellAnchor>
    <xdr:from>
      <xdr:col>0</xdr:col>
      <xdr:colOff>123825</xdr:colOff>
      <xdr:row>38</xdr:row>
      <xdr:rowOff>0</xdr:rowOff>
    </xdr:from>
    <xdr:to>
      <xdr:col>3</xdr:col>
      <xdr:colOff>447675</xdr:colOff>
      <xdr:row>41</xdr:row>
      <xdr:rowOff>9525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123825" y="7524750"/>
          <a:ext cx="2571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"∅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"=(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n^2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V^2)/(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V_A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^2/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∅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+((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n-1)^2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×〖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V_e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^2)/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∅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120" zoomScaleNormal="120" zoomScalePageLayoutView="0" workbookViewId="0" topLeftCell="A1">
      <selection activeCell="H4" sqref="H4"/>
    </sheetView>
  </sheetViews>
  <sheetFormatPr defaultColWidth="11" defaultRowHeight="14.25"/>
  <cols>
    <col min="1" max="1" width="13.796875" style="59" customWidth="1"/>
    <col min="2" max="2" width="23.296875" style="59" customWidth="1"/>
    <col min="3" max="3" width="22.796875" style="59" customWidth="1"/>
    <col min="4" max="4" width="35.69921875" style="59" customWidth="1"/>
    <col min="5" max="5" width="25.19921875" style="0" customWidth="1"/>
  </cols>
  <sheetData>
    <row r="1" spans="1:6" ht="43.5" customHeight="1">
      <c r="A1" s="56" t="s">
        <v>95</v>
      </c>
      <c r="B1" s="56" t="s">
        <v>96</v>
      </c>
      <c r="C1" s="56" t="s">
        <v>97</v>
      </c>
      <c r="D1" s="56" t="s">
        <v>98</v>
      </c>
      <c r="E1" s="60" t="s">
        <v>104</v>
      </c>
      <c r="F1" s="61" t="s">
        <v>105</v>
      </c>
    </row>
    <row r="2" spans="1:6" ht="31.5" customHeight="1">
      <c r="A2" s="170" t="s">
        <v>106</v>
      </c>
      <c r="B2" s="169" t="s">
        <v>103</v>
      </c>
      <c r="C2" s="57" t="s">
        <v>101</v>
      </c>
      <c r="D2" s="57" t="s">
        <v>99</v>
      </c>
      <c r="E2" s="60"/>
      <c r="F2" s="60"/>
    </row>
    <row r="3" spans="1:6" ht="31.5">
      <c r="A3" s="170"/>
      <c r="B3" s="169"/>
      <c r="C3" s="57" t="s">
        <v>102</v>
      </c>
      <c r="D3" s="58" t="s">
        <v>100</v>
      </c>
      <c r="E3" s="60"/>
      <c r="F3" s="60"/>
    </row>
    <row r="4" spans="1:6" ht="27.75" customHeight="1">
      <c r="A4" s="171" t="s">
        <v>107</v>
      </c>
      <c r="B4" s="172" t="s">
        <v>108</v>
      </c>
      <c r="C4" s="62" t="s">
        <v>109</v>
      </c>
      <c r="D4" s="62" t="s">
        <v>110</v>
      </c>
      <c r="E4" s="70"/>
      <c r="F4" s="60"/>
    </row>
    <row r="5" spans="1:6" ht="15">
      <c r="A5" s="171"/>
      <c r="B5" s="172"/>
      <c r="C5" s="62" t="s">
        <v>112</v>
      </c>
      <c r="D5" s="62" t="s">
        <v>111</v>
      </c>
      <c r="E5" s="70"/>
      <c r="F5" s="60"/>
    </row>
    <row r="6" spans="1:6" ht="15.75">
      <c r="A6" s="176" t="s">
        <v>118</v>
      </c>
      <c r="B6" s="64" t="s">
        <v>115</v>
      </c>
      <c r="C6" s="64" t="s">
        <v>116</v>
      </c>
      <c r="D6" s="64" t="s">
        <v>117</v>
      </c>
      <c r="E6" s="71"/>
      <c r="F6" s="60"/>
    </row>
    <row r="7" spans="1:6" ht="15.75">
      <c r="A7" s="178"/>
      <c r="B7" s="64" t="s">
        <v>146</v>
      </c>
      <c r="C7" s="64" t="s">
        <v>116</v>
      </c>
      <c r="D7" s="64" t="s">
        <v>117</v>
      </c>
      <c r="E7" s="71"/>
      <c r="F7" s="60"/>
    </row>
    <row r="8" spans="1:6" ht="96">
      <c r="A8" s="67" t="s">
        <v>113</v>
      </c>
      <c r="B8" s="64" t="s">
        <v>119</v>
      </c>
      <c r="C8" s="58" t="s">
        <v>120</v>
      </c>
      <c r="D8" s="65" t="s">
        <v>117</v>
      </c>
      <c r="E8" s="72"/>
      <c r="F8" s="60"/>
    </row>
    <row r="9" spans="1:6" ht="127.5">
      <c r="A9" s="67" t="s">
        <v>114</v>
      </c>
      <c r="B9" s="64" t="s">
        <v>121</v>
      </c>
      <c r="C9" s="62" t="s">
        <v>122</v>
      </c>
      <c r="D9" s="64" t="s">
        <v>123</v>
      </c>
      <c r="E9" s="63"/>
      <c r="F9" s="60"/>
    </row>
    <row r="10" spans="1:6" ht="48">
      <c r="A10" s="68" t="s">
        <v>124</v>
      </c>
      <c r="B10" s="62" t="s">
        <v>126</v>
      </c>
      <c r="C10" s="62" t="s">
        <v>127</v>
      </c>
      <c r="D10" s="62" t="s">
        <v>128</v>
      </c>
      <c r="E10" s="71"/>
      <c r="F10" s="60"/>
    </row>
    <row r="11" spans="1:6" ht="15">
      <c r="A11" s="69" t="s">
        <v>125</v>
      </c>
      <c r="B11" s="62" t="s">
        <v>129</v>
      </c>
      <c r="C11" s="62" t="s">
        <v>116</v>
      </c>
      <c r="D11" s="62" t="s">
        <v>130</v>
      </c>
      <c r="E11" s="71"/>
      <c r="F11" s="60"/>
    </row>
    <row r="12" spans="1:6" ht="31.5" customHeight="1">
      <c r="A12" s="176" t="s">
        <v>131</v>
      </c>
      <c r="B12" s="179" t="s">
        <v>132</v>
      </c>
      <c r="C12" s="62" t="s">
        <v>133</v>
      </c>
      <c r="D12" s="64" t="s">
        <v>147</v>
      </c>
      <c r="E12" s="71"/>
      <c r="F12" s="60"/>
    </row>
    <row r="13" spans="1:6" ht="15">
      <c r="A13" s="177"/>
      <c r="B13" s="180"/>
      <c r="C13" s="62" t="s">
        <v>134</v>
      </c>
      <c r="D13" s="62" t="s">
        <v>110</v>
      </c>
      <c r="E13" s="63"/>
      <c r="F13" s="60"/>
    </row>
    <row r="14" spans="1:6" ht="15">
      <c r="A14" s="178"/>
      <c r="B14" s="181"/>
      <c r="C14" s="62" t="s">
        <v>135</v>
      </c>
      <c r="D14" s="62" t="s">
        <v>117</v>
      </c>
      <c r="E14" s="71"/>
      <c r="F14" s="60"/>
    </row>
    <row r="15" spans="1:6" ht="31.5">
      <c r="A15" s="173" t="s">
        <v>136</v>
      </c>
      <c r="B15" s="68" t="s">
        <v>137</v>
      </c>
      <c r="C15" s="68" t="s">
        <v>140</v>
      </c>
      <c r="D15" s="75" t="s">
        <v>141</v>
      </c>
      <c r="E15" s="77"/>
      <c r="F15" s="76"/>
    </row>
    <row r="16" spans="1:6" ht="31.5">
      <c r="A16" s="174"/>
      <c r="B16" s="73" t="s">
        <v>138</v>
      </c>
      <c r="C16" s="69" t="s">
        <v>142</v>
      </c>
      <c r="D16" s="69" t="s">
        <v>144</v>
      </c>
      <c r="E16" s="78"/>
      <c r="F16" s="74"/>
    </row>
    <row r="17" spans="1:6" ht="15">
      <c r="A17" s="175"/>
      <c r="B17" s="66" t="s">
        <v>139</v>
      </c>
      <c r="C17" s="66" t="s">
        <v>143</v>
      </c>
      <c r="D17" s="66" t="s">
        <v>145</v>
      </c>
      <c r="E17" s="79"/>
      <c r="F17" s="60"/>
    </row>
  </sheetData>
  <sheetProtection/>
  <mergeCells count="8">
    <mergeCell ref="B2:B3"/>
    <mergeCell ref="A2:A3"/>
    <mergeCell ref="A4:A5"/>
    <mergeCell ref="B4:B5"/>
    <mergeCell ref="A15:A17"/>
    <mergeCell ref="A12:A14"/>
    <mergeCell ref="A6:A7"/>
    <mergeCell ref="B12:B14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C27" sqref="C27"/>
    </sheetView>
  </sheetViews>
  <sheetFormatPr defaultColWidth="8.796875" defaultRowHeight="14.25"/>
  <cols>
    <col min="1" max="1" width="16.5" style="3" customWidth="1"/>
    <col min="2" max="3" width="14.19921875" style="3" customWidth="1"/>
    <col min="4" max="4" width="13.796875" style="3" bestFit="1" customWidth="1"/>
    <col min="5" max="5" width="14.796875" style="3" customWidth="1"/>
    <col min="6" max="6" width="11.796875" style="3" customWidth="1"/>
    <col min="7" max="7" width="15.5" style="3" customWidth="1"/>
    <col min="8" max="8" width="9.5" style="3" bestFit="1" customWidth="1"/>
    <col min="9" max="9" width="9.19921875" style="3" customWidth="1"/>
  </cols>
  <sheetData>
    <row r="1" spans="1:11" s="3" customFormat="1" ht="16.5">
      <c r="A1" s="191" t="s">
        <v>65</v>
      </c>
      <c r="B1" s="191"/>
      <c r="C1" s="191"/>
      <c r="D1" s="191"/>
      <c r="E1" s="191"/>
      <c r="F1" s="191"/>
      <c r="G1" s="191"/>
      <c r="H1" s="191"/>
      <c r="I1" s="191"/>
      <c r="J1" s="191"/>
      <c r="K1" s="10"/>
    </row>
    <row r="2" spans="1:11" s="3" customFormat="1" ht="16.5">
      <c r="A2" s="191" t="s">
        <v>149</v>
      </c>
      <c r="B2" s="191"/>
      <c r="C2" s="191"/>
      <c r="D2" s="191"/>
      <c r="E2" s="191"/>
      <c r="F2" s="191"/>
      <c r="G2" s="191"/>
      <c r="H2" s="191"/>
      <c r="I2" s="191"/>
      <c r="J2" s="191"/>
      <c r="K2" s="10"/>
    </row>
    <row r="3" spans="1:3" ht="6.75" customHeight="1">
      <c r="A3" s="2"/>
      <c r="B3" s="2"/>
      <c r="C3" s="2"/>
    </row>
    <row r="4" spans="1:3" ht="15">
      <c r="A4" s="4" t="s">
        <v>5</v>
      </c>
      <c r="B4" s="4"/>
      <c r="C4" s="4"/>
    </row>
    <row r="5" spans="1:6" ht="9.75" customHeight="1">
      <c r="A5" s="27"/>
      <c r="B5" s="27"/>
      <c r="C5" s="27"/>
      <c r="D5" s="14"/>
      <c r="E5" s="14"/>
      <c r="F5" s="14"/>
    </row>
    <row r="6" spans="1:6" ht="13.5">
      <c r="A6" s="14" t="s">
        <v>4</v>
      </c>
      <c r="B6" s="14"/>
      <c r="C6" s="14"/>
      <c r="D6" s="14"/>
      <c r="E6" s="14"/>
      <c r="F6" s="14"/>
    </row>
    <row r="7" spans="1:6" ht="5.25" customHeight="1">
      <c r="A7" s="14"/>
      <c r="B7" s="14"/>
      <c r="C7" s="14"/>
      <c r="D7" s="14"/>
      <c r="E7" s="14"/>
      <c r="F7" s="14"/>
    </row>
    <row r="8" spans="1:6" ht="13.5" customHeight="1">
      <c r="A8" s="88" t="s">
        <v>69</v>
      </c>
      <c r="B8" s="81" t="s">
        <v>150</v>
      </c>
      <c r="C8" s="192" t="s">
        <v>42</v>
      </c>
      <c r="D8" s="193"/>
      <c r="E8" s="194" t="s">
        <v>44</v>
      </c>
      <c r="F8" s="14"/>
    </row>
    <row r="9" spans="1:6" ht="15">
      <c r="A9" s="89" t="s">
        <v>70</v>
      </c>
      <c r="B9" s="82" t="s">
        <v>26</v>
      </c>
      <c r="C9" s="82" t="s">
        <v>66</v>
      </c>
      <c r="D9" s="82" t="s">
        <v>45</v>
      </c>
      <c r="E9" s="195"/>
      <c r="F9" s="14"/>
    </row>
    <row r="10" spans="1:8" ht="13.5">
      <c r="A10" s="80">
        <v>80</v>
      </c>
      <c r="B10" s="18">
        <f>C$20/100*8/50*100</f>
        <v>1.7600832</v>
      </c>
      <c r="C10" s="90">
        <v>715410</v>
      </c>
      <c r="D10" s="90">
        <v>1090223</v>
      </c>
      <c r="E10" s="91">
        <f>C10/D10</f>
        <v>0.6562051983860183</v>
      </c>
      <c r="F10" s="14"/>
      <c r="G10" s="6"/>
      <c r="H10" s="6"/>
    </row>
    <row r="11" spans="1:6" ht="13.5">
      <c r="A11" s="80">
        <v>90</v>
      </c>
      <c r="B11" s="18">
        <f>C$20/100*9/50*100</f>
        <v>1.9800936000000002</v>
      </c>
      <c r="C11" s="90">
        <v>806593</v>
      </c>
      <c r="D11" s="90">
        <v>1092229</v>
      </c>
      <c r="E11" s="91">
        <f>C11/D11</f>
        <v>0.738483413276886</v>
      </c>
      <c r="F11" s="14"/>
    </row>
    <row r="12" spans="1:6" ht="13.5">
      <c r="A12" s="80">
        <v>100</v>
      </c>
      <c r="B12" s="18">
        <f>C$20/100*10/50*100</f>
        <v>2.200104</v>
      </c>
      <c r="C12" s="90">
        <v>896007</v>
      </c>
      <c r="D12" s="90">
        <v>1096256</v>
      </c>
      <c r="E12" s="91">
        <f>C12/D12</f>
        <v>0.8173337249693502</v>
      </c>
      <c r="F12" s="14"/>
    </row>
    <row r="13" spans="1:6" ht="13.5">
      <c r="A13" s="80">
        <v>110</v>
      </c>
      <c r="B13" s="18">
        <f>C$20/100*11/50*100</f>
        <v>2.4201144</v>
      </c>
      <c r="C13" s="90">
        <v>985361</v>
      </c>
      <c r="D13" s="90">
        <v>1096255</v>
      </c>
      <c r="E13" s="91">
        <f>C13/D13</f>
        <v>0.8988428787097892</v>
      </c>
      <c r="F13" s="14"/>
    </row>
    <row r="14" spans="1:6" ht="13.5">
      <c r="A14" s="80">
        <v>120</v>
      </c>
      <c r="B14" s="18">
        <f>C$20/100*12/50*100</f>
        <v>2.6401247999999997</v>
      </c>
      <c r="C14" s="90">
        <v>1066215</v>
      </c>
      <c r="D14" s="90">
        <v>1093872</v>
      </c>
      <c r="E14" s="91">
        <f>C14/D14</f>
        <v>0.9747164202027294</v>
      </c>
      <c r="F14" s="14"/>
    </row>
    <row r="15" spans="1:6" ht="13.5">
      <c r="A15" s="92"/>
      <c r="B15" s="93"/>
      <c r="C15" s="94"/>
      <c r="D15" s="94"/>
      <c r="E15" s="95"/>
      <c r="F15" s="14"/>
    </row>
    <row r="16" spans="1:6" ht="13.5">
      <c r="A16" s="183" t="s">
        <v>71</v>
      </c>
      <c r="B16" s="183"/>
      <c r="C16" s="184" t="s">
        <v>72</v>
      </c>
      <c r="D16" s="184"/>
      <c r="E16" s="14"/>
      <c r="F16" s="14"/>
    </row>
    <row r="17" spans="1:8" ht="13.5">
      <c r="A17" s="196" t="s">
        <v>27</v>
      </c>
      <c r="B17" s="196"/>
      <c r="C17" s="186">
        <f>ABS(INTERCEPT(E10:E14,B10:B14))</f>
        <v>0.0197344180426291</v>
      </c>
      <c r="D17" s="186"/>
      <c r="E17" s="14"/>
      <c r="F17" s="98"/>
      <c r="G17" s="9"/>
      <c r="H17" s="5"/>
    </row>
    <row r="18" spans="1:6" ht="13.5">
      <c r="A18" s="183" t="s">
        <v>0</v>
      </c>
      <c r="B18" s="183"/>
      <c r="C18" s="185">
        <f>CORREL(B10:B14,E10:E14)</f>
        <v>0.9999150695556281</v>
      </c>
      <c r="D18" s="185"/>
      <c r="E18" s="99"/>
      <c r="F18" s="99"/>
    </row>
    <row r="19" spans="1:6" ht="13.5">
      <c r="A19" s="189" t="s">
        <v>73</v>
      </c>
      <c r="B19" s="190"/>
      <c r="C19" s="187">
        <f>E12*4/100</f>
        <v>0.032693348998774005</v>
      </c>
      <c r="D19" s="188"/>
      <c r="E19" s="99"/>
      <c r="F19" s="99"/>
    </row>
    <row r="20" spans="1:6" ht="13.5">
      <c r="A20" s="197" t="s">
        <v>151</v>
      </c>
      <c r="B20" s="197"/>
      <c r="C20" s="100">
        <v>11.00052</v>
      </c>
      <c r="D20" s="83"/>
      <c r="E20" s="14"/>
      <c r="F20" s="14"/>
    </row>
    <row r="21" spans="1:6" ht="13.5">
      <c r="A21" s="182" t="s">
        <v>152</v>
      </c>
      <c r="B21" s="182"/>
      <c r="C21" s="182"/>
      <c r="D21" s="182"/>
      <c r="E21" s="14"/>
      <c r="F21" s="14"/>
    </row>
    <row r="22" spans="1:6" ht="13.5">
      <c r="A22" s="14" t="s">
        <v>74</v>
      </c>
      <c r="B22" s="14"/>
      <c r="C22" s="14"/>
      <c r="D22" s="14"/>
      <c r="E22" s="14"/>
      <c r="F22" s="14"/>
    </row>
    <row r="23" spans="1:6" ht="13.5">
      <c r="A23" s="14"/>
      <c r="B23" s="14"/>
      <c r="C23" s="14"/>
      <c r="D23" s="14"/>
      <c r="E23" s="14"/>
      <c r="F23" s="14"/>
    </row>
    <row r="24" spans="1:6" ht="13.5">
      <c r="A24" s="14" t="s">
        <v>153</v>
      </c>
      <c r="B24" s="14"/>
      <c r="C24" s="14"/>
      <c r="D24" s="14"/>
      <c r="E24" s="14"/>
      <c r="F24" s="14"/>
    </row>
    <row r="25" spans="1:6" ht="13.5">
      <c r="A25" s="14" t="s">
        <v>75</v>
      </c>
      <c r="B25" s="14"/>
      <c r="C25" s="14"/>
      <c r="D25" s="14"/>
      <c r="E25" s="14"/>
      <c r="F25" s="14"/>
    </row>
    <row r="26" spans="1:6" ht="13.5">
      <c r="A26" s="14"/>
      <c r="B26" s="14"/>
      <c r="C26" s="14"/>
      <c r="D26" s="14"/>
      <c r="E26" s="14"/>
      <c r="F26" s="14"/>
    </row>
    <row r="27" spans="1:6" ht="13.5">
      <c r="A27" s="14"/>
      <c r="B27" s="14"/>
      <c r="C27" s="14"/>
      <c r="D27" s="14"/>
      <c r="E27" s="14"/>
      <c r="F27" s="14"/>
    </row>
    <row r="28" spans="1:6" ht="13.5">
      <c r="A28" s="14"/>
      <c r="B28" s="14"/>
      <c r="C28" s="14"/>
      <c r="D28" s="14"/>
      <c r="E28" s="14"/>
      <c r="F28" s="14"/>
    </row>
    <row r="39" spans="5:10" ht="13.5">
      <c r="E39" s="6"/>
      <c r="H39" s="6"/>
      <c r="I39" s="6"/>
      <c r="J39" s="1"/>
    </row>
    <row r="42" spans="3:7" ht="13.5">
      <c r="C42" s="3" t="s">
        <v>67</v>
      </c>
      <c r="E42" s="7"/>
      <c r="F42" s="7"/>
      <c r="G42" s="7"/>
    </row>
    <row r="59" ht="13.5">
      <c r="E59" s="6"/>
    </row>
  </sheetData>
  <sheetProtection/>
  <mergeCells count="14">
    <mergeCell ref="A1:J1"/>
    <mergeCell ref="A2:J2"/>
    <mergeCell ref="C8:D8"/>
    <mergeCell ref="E8:E9"/>
    <mergeCell ref="A17:B17"/>
    <mergeCell ref="A20:B20"/>
    <mergeCell ref="A21:D21"/>
    <mergeCell ref="A18:B18"/>
    <mergeCell ref="A16:B16"/>
    <mergeCell ref="C16:D16"/>
    <mergeCell ref="C18:D18"/>
    <mergeCell ref="C17:D17"/>
    <mergeCell ref="C19:D19"/>
    <mergeCell ref="A19:B19"/>
  </mergeCells>
  <printOptions/>
  <pageMargins left="0.984251968503937" right="0.3937007874015748" top="0.56" bottom="0.48" header="0.5118110236220472" footer="0.38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="110" zoomScaleNormal="110" zoomScalePageLayoutView="0" workbookViewId="0" topLeftCell="F5">
      <selection activeCell="M15" sqref="M15"/>
    </sheetView>
  </sheetViews>
  <sheetFormatPr defaultColWidth="8.796875" defaultRowHeight="14.25"/>
  <cols>
    <col min="1" max="1" width="7.69921875" style="3" customWidth="1"/>
    <col min="2" max="2" width="10.796875" style="3" customWidth="1"/>
    <col min="3" max="3" width="9.796875" style="3" customWidth="1"/>
    <col min="4" max="9" width="10.296875" style="3" customWidth="1"/>
    <col min="10" max="10" width="11.19921875" style="3" customWidth="1"/>
    <col min="11" max="11" width="12.19921875" style="3" bestFit="1" customWidth="1"/>
    <col min="12" max="12" width="4.5" style="3" customWidth="1"/>
    <col min="13" max="13" width="10" style="3" customWidth="1"/>
    <col min="14" max="14" width="9.796875" style="3" customWidth="1"/>
    <col min="15" max="15" width="9.19921875" style="3" bestFit="1" customWidth="1"/>
    <col min="16" max="16" width="9.796875" style="3" customWidth="1"/>
    <col min="17" max="17" width="10.796875" style="3" customWidth="1"/>
    <col min="18" max="18" width="13" style="3" bestFit="1" customWidth="1"/>
    <col min="19" max="20" width="9.19921875" style="3" customWidth="1"/>
    <col min="21" max="21" width="17" style="3" bestFit="1" customWidth="1"/>
    <col min="22" max="22" width="8.796875" style="0" customWidth="1"/>
    <col min="23" max="23" width="9.19921875" style="0" bestFit="1" customWidth="1"/>
    <col min="24" max="24" width="13.796875" style="0" customWidth="1"/>
  </cols>
  <sheetData>
    <row r="1" spans="1:15" ht="23.25" customHeight="1">
      <c r="A1" s="191" t="s">
        <v>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23.25" customHeight="1">
      <c r="A2" s="191" t="s">
        <v>149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3:16" ht="16.5">
      <c r="C3" s="2"/>
      <c r="L3" s="14"/>
      <c r="M3" s="14">
        <f>_xlfn.T.INV.2T(0.025,8)</f>
        <v>2.7515235960630515</v>
      </c>
      <c r="N3" s="14"/>
      <c r="O3" s="14"/>
      <c r="P3" s="14"/>
    </row>
    <row r="4" spans="1:16" ht="15">
      <c r="A4" s="27" t="s">
        <v>52</v>
      </c>
      <c r="B4" s="14"/>
      <c r="C4" s="14"/>
      <c r="D4" s="27"/>
      <c r="E4" s="27"/>
      <c r="F4" s="27"/>
      <c r="G4" s="27"/>
      <c r="H4" s="27"/>
      <c r="I4" s="14"/>
      <c r="J4" s="14"/>
      <c r="K4" s="14"/>
      <c r="L4" s="14"/>
      <c r="M4" s="14"/>
      <c r="N4" s="14"/>
      <c r="O4" s="14"/>
      <c r="P4" s="14"/>
    </row>
    <row r="5" spans="1:16" ht="15">
      <c r="A5" s="14"/>
      <c r="B5" s="14"/>
      <c r="C5" s="14"/>
      <c r="D5" s="27"/>
      <c r="E5" s="27"/>
      <c r="F5" s="27"/>
      <c r="G5" s="27"/>
      <c r="H5" s="27"/>
      <c r="I5" s="14"/>
      <c r="J5" s="14"/>
      <c r="K5" s="14"/>
      <c r="L5" s="14"/>
      <c r="M5" s="14"/>
      <c r="N5" s="14"/>
      <c r="O5" s="14"/>
      <c r="P5" s="14"/>
    </row>
    <row r="6" spans="1:16" ht="13.5">
      <c r="A6" s="13" t="s">
        <v>53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3" t="s">
        <v>54</v>
      </c>
      <c r="N6" s="14"/>
      <c r="O6" s="14"/>
      <c r="P6" s="14"/>
    </row>
    <row r="7" spans="1:16" ht="17.25" customHeight="1">
      <c r="A7" s="199" t="s">
        <v>93</v>
      </c>
      <c r="B7" s="199" t="s">
        <v>154</v>
      </c>
      <c r="C7" s="199" t="s">
        <v>55</v>
      </c>
      <c r="D7" s="192" t="s">
        <v>41</v>
      </c>
      <c r="E7" s="198"/>
      <c r="F7" s="193"/>
      <c r="G7" s="192" t="s">
        <v>43</v>
      </c>
      <c r="H7" s="198"/>
      <c r="I7" s="193"/>
      <c r="J7" s="199" t="s">
        <v>155</v>
      </c>
      <c r="K7" s="199" t="s">
        <v>2</v>
      </c>
      <c r="L7" s="14"/>
      <c r="M7" s="42" t="s">
        <v>6</v>
      </c>
      <c r="N7" s="43" t="s">
        <v>7</v>
      </c>
      <c r="O7" s="14" t="s">
        <v>8</v>
      </c>
      <c r="P7" s="14"/>
    </row>
    <row r="8" spans="1:16" ht="31.5" customHeight="1">
      <c r="A8" s="200"/>
      <c r="B8" s="200"/>
      <c r="C8" s="200"/>
      <c r="D8" s="15" t="s">
        <v>156</v>
      </c>
      <c r="E8" s="15" t="s">
        <v>157</v>
      </c>
      <c r="F8" s="15" t="s">
        <v>76</v>
      </c>
      <c r="G8" s="15" t="s">
        <v>156</v>
      </c>
      <c r="H8" s="15" t="s">
        <v>157</v>
      </c>
      <c r="I8" s="15" t="s">
        <v>77</v>
      </c>
      <c r="J8" s="200"/>
      <c r="K8" s="200"/>
      <c r="L8" s="14"/>
      <c r="M8" s="14"/>
      <c r="N8" s="14"/>
      <c r="O8" s="14"/>
      <c r="P8" s="14"/>
    </row>
    <row r="9" spans="1:20" ht="13.5">
      <c r="A9" s="208">
        <v>80</v>
      </c>
      <c r="B9" s="212">
        <f>C22*20/100</f>
        <v>1.760018</v>
      </c>
      <c r="C9" s="16">
        <v>1</v>
      </c>
      <c r="D9" s="194">
        <v>944378</v>
      </c>
      <c r="E9" s="194">
        <v>1093871</v>
      </c>
      <c r="F9" s="202">
        <f>D9/E9</f>
        <v>0.8633358046789795</v>
      </c>
      <c r="G9" s="17">
        <v>719236</v>
      </c>
      <c r="H9" s="17">
        <v>1096792</v>
      </c>
      <c r="I9" s="18">
        <f aca="true" t="shared" si="0" ref="I9:I17">G9/H9</f>
        <v>0.6557633534890845</v>
      </c>
      <c r="J9" s="18">
        <f>D26*I9/$F$9</f>
        <v>1.762352637895199</v>
      </c>
      <c r="K9" s="19">
        <f>ROUND(+J9/B$9*100,1)</f>
        <v>100.1</v>
      </c>
      <c r="L9" s="14"/>
      <c r="M9" s="14"/>
      <c r="N9" s="14"/>
      <c r="O9" s="14"/>
      <c r="P9" s="14"/>
      <c r="R9" s="205" t="s">
        <v>93</v>
      </c>
      <c r="S9" s="206"/>
      <c r="T9" s="207"/>
    </row>
    <row r="10" spans="1:20" ht="13.5">
      <c r="A10" s="208"/>
      <c r="B10" s="212"/>
      <c r="C10" s="16">
        <v>2</v>
      </c>
      <c r="D10" s="201"/>
      <c r="E10" s="201"/>
      <c r="F10" s="203"/>
      <c r="G10" s="17">
        <v>718255</v>
      </c>
      <c r="H10" s="17">
        <v>1097174</v>
      </c>
      <c r="I10" s="18">
        <f t="shared" si="0"/>
        <v>0.6546409229529683</v>
      </c>
      <c r="J10" s="18">
        <f>D26*I10/$F$9</f>
        <v>1.759336125298614</v>
      </c>
      <c r="K10" s="19">
        <f>ROUND(+J10/B$9*100,1)</f>
        <v>100</v>
      </c>
      <c r="L10" s="14"/>
      <c r="M10" s="14"/>
      <c r="N10" s="14"/>
      <c r="O10" s="14"/>
      <c r="P10" s="14"/>
      <c r="Q10" s="8" t="s">
        <v>94</v>
      </c>
      <c r="R10" s="12" t="s">
        <v>56</v>
      </c>
      <c r="S10" s="12" t="s">
        <v>57</v>
      </c>
      <c r="T10" s="12" t="s">
        <v>58</v>
      </c>
    </row>
    <row r="11" spans="1:20" ht="13.5">
      <c r="A11" s="208"/>
      <c r="B11" s="212"/>
      <c r="C11" s="16">
        <v>3</v>
      </c>
      <c r="D11" s="201"/>
      <c r="E11" s="201"/>
      <c r="F11" s="203"/>
      <c r="G11" s="17">
        <v>718512</v>
      </c>
      <c r="H11" s="17">
        <v>1096652</v>
      </c>
      <c r="I11" s="18">
        <f t="shared" si="0"/>
        <v>0.6551868778792178</v>
      </c>
      <c r="J11" s="18">
        <f>D26*I11/$F$9</f>
        <v>1.7608033696929954</v>
      </c>
      <c r="K11" s="19">
        <f>ROUND(+J11/B$9*100,1)</f>
        <v>100</v>
      </c>
      <c r="L11" s="14"/>
      <c r="M11" s="28" t="s">
        <v>9</v>
      </c>
      <c r="N11" s="44"/>
      <c r="O11" s="45">
        <f>ROUND(K19,1)</f>
        <v>-0.1</v>
      </c>
      <c r="P11" s="14"/>
      <c r="Q11" s="8">
        <v>1</v>
      </c>
      <c r="R11" s="11">
        <f>K9</f>
        <v>100.1</v>
      </c>
      <c r="S11" s="11">
        <f>K12</f>
        <v>99.8</v>
      </c>
      <c r="T11" s="11">
        <f>K15</f>
        <v>100.4</v>
      </c>
    </row>
    <row r="12" spans="1:20" ht="13.5">
      <c r="A12" s="208">
        <v>100</v>
      </c>
      <c r="B12" s="212">
        <f>C22*25/100</f>
        <v>2.2000225</v>
      </c>
      <c r="C12" s="16">
        <v>1</v>
      </c>
      <c r="D12" s="201"/>
      <c r="E12" s="201"/>
      <c r="F12" s="203"/>
      <c r="G12" s="17">
        <v>897158</v>
      </c>
      <c r="H12" s="17">
        <v>1098651</v>
      </c>
      <c r="I12" s="18">
        <f t="shared" si="0"/>
        <v>0.8165996299097712</v>
      </c>
      <c r="J12" s="18">
        <f>D26*I12/$F$9</f>
        <v>2.194597340974595</v>
      </c>
      <c r="K12" s="19">
        <f>ROUND(+J12/B$12*100,1)</f>
        <v>99.8</v>
      </c>
      <c r="L12" s="14"/>
      <c r="M12" s="28" t="s">
        <v>10</v>
      </c>
      <c r="N12" s="44"/>
      <c r="O12" s="16">
        <f>COUNTA(K9:K17)</f>
        <v>9</v>
      </c>
      <c r="P12" s="14"/>
      <c r="Q12" s="8">
        <v>2</v>
      </c>
      <c r="R12" s="11">
        <f>K10</f>
        <v>100</v>
      </c>
      <c r="S12" s="11">
        <f>K13</f>
        <v>99.7</v>
      </c>
      <c r="T12" s="11">
        <f>K16</f>
        <v>99.8</v>
      </c>
    </row>
    <row r="13" spans="1:20" ht="13.5">
      <c r="A13" s="208"/>
      <c r="B13" s="212"/>
      <c r="C13" s="16">
        <v>2</v>
      </c>
      <c r="D13" s="201"/>
      <c r="E13" s="201"/>
      <c r="F13" s="203"/>
      <c r="G13" s="17">
        <v>895950</v>
      </c>
      <c r="H13" s="17">
        <v>1098002</v>
      </c>
      <c r="I13" s="18">
        <f>G13/H13</f>
        <v>0.8159821202511471</v>
      </c>
      <c r="J13" s="18">
        <f>D26*I13/$F$9</f>
        <v>2.1929377944781168</v>
      </c>
      <c r="K13" s="19">
        <f>ROUND(+J13/B$12*100,1)</f>
        <v>99.7</v>
      </c>
      <c r="L13" s="14"/>
      <c r="M13" s="28" t="s">
        <v>11</v>
      </c>
      <c r="N13" s="44"/>
      <c r="O13" s="46">
        <f>ROUND(T28,5)</f>
        <v>0.14778</v>
      </c>
      <c r="P13" s="14"/>
      <c r="Q13" s="8">
        <v>3</v>
      </c>
      <c r="R13" s="11">
        <f>K11</f>
        <v>100</v>
      </c>
      <c r="S13" s="11">
        <f>K14</f>
        <v>99.5</v>
      </c>
      <c r="T13" s="11">
        <f>K17</f>
        <v>100</v>
      </c>
    </row>
    <row r="14" spans="1:16" ht="13.5">
      <c r="A14" s="208"/>
      <c r="B14" s="212"/>
      <c r="C14" s="16">
        <v>3</v>
      </c>
      <c r="D14" s="201"/>
      <c r="E14" s="201"/>
      <c r="F14" s="203"/>
      <c r="G14" s="17">
        <v>894747</v>
      </c>
      <c r="H14" s="17">
        <v>1097974</v>
      </c>
      <c r="I14" s="18">
        <f t="shared" si="0"/>
        <v>0.8149072746713493</v>
      </c>
      <c r="J14" s="18">
        <f>D26*I14/$F$9</f>
        <v>2.190049165626248</v>
      </c>
      <c r="K14" s="19">
        <f>ROUND(+J14/B$12*100,1)</f>
        <v>99.5</v>
      </c>
      <c r="L14" s="14"/>
      <c r="M14" s="47"/>
      <c r="N14" s="29"/>
      <c r="O14" s="48"/>
      <c r="P14" s="14"/>
    </row>
    <row r="15" spans="1:24" ht="13.5">
      <c r="A15" s="208">
        <v>120</v>
      </c>
      <c r="B15" s="212">
        <f>C22*30/100</f>
        <v>2.640027</v>
      </c>
      <c r="C15" s="16">
        <v>1</v>
      </c>
      <c r="D15" s="201"/>
      <c r="E15" s="201"/>
      <c r="F15" s="203"/>
      <c r="G15" s="17">
        <v>1074004</v>
      </c>
      <c r="H15" s="17">
        <v>1089491</v>
      </c>
      <c r="I15" s="18">
        <f t="shared" si="0"/>
        <v>0.9857851051546089</v>
      </c>
      <c r="J15" s="18">
        <f>D26*I15/$F$9</f>
        <v>2.649280371072061</v>
      </c>
      <c r="K15" s="19">
        <f>ROUND(+J15/B$15*100,1)</f>
        <v>100.4</v>
      </c>
      <c r="L15" s="14"/>
      <c r="M15" s="49">
        <f>O11-M3*SQRT(O13/O12)</f>
        <v>-0.45258174098631154</v>
      </c>
      <c r="N15" s="50" t="s">
        <v>7</v>
      </c>
      <c r="O15" s="51">
        <f>O11+M3*SQRT(O13/O12)</f>
        <v>0.2525817409863116</v>
      </c>
      <c r="P15" s="14"/>
      <c r="Q15" s="14"/>
      <c r="R15" s="14"/>
      <c r="S15" s="14"/>
      <c r="T15" s="14"/>
      <c r="U15" s="14"/>
      <c r="V15" s="30"/>
      <c r="W15" s="30"/>
      <c r="X15" s="30"/>
    </row>
    <row r="16" spans="1:24" ht="13.5">
      <c r="A16" s="208"/>
      <c r="B16" s="212"/>
      <c r="C16" s="16">
        <v>2</v>
      </c>
      <c r="D16" s="201"/>
      <c r="E16" s="201"/>
      <c r="F16" s="203"/>
      <c r="G16" s="17">
        <v>1057407</v>
      </c>
      <c r="H16" s="17">
        <v>1078640</v>
      </c>
      <c r="I16" s="18">
        <f t="shared" si="0"/>
        <v>0.9803150263294519</v>
      </c>
      <c r="J16" s="18">
        <f>D26*I16/$F$9</f>
        <v>2.6345796291112333</v>
      </c>
      <c r="K16" s="19">
        <f>ROUND(+J16/B$15*100,1)</f>
        <v>99.8</v>
      </c>
      <c r="L16" s="14"/>
      <c r="M16" s="52"/>
      <c r="N16" s="53"/>
      <c r="O16" s="54"/>
      <c r="P16" s="14"/>
      <c r="Q16" s="14"/>
      <c r="R16" s="14"/>
      <c r="S16" s="14"/>
      <c r="T16" s="14"/>
      <c r="U16" s="14"/>
      <c r="V16" s="30"/>
      <c r="W16" s="30"/>
      <c r="X16" s="30"/>
    </row>
    <row r="17" spans="1:24" ht="13.5">
      <c r="A17" s="208"/>
      <c r="B17" s="212"/>
      <c r="C17" s="16">
        <v>3</v>
      </c>
      <c r="D17" s="195"/>
      <c r="E17" s="195"/>
      <c r="F17" s="204"/>
      <c r="G17" s="17">
        <v>1066961</v>
      </c>
      <c r="H17" s="17">
        <v>1086019</v>
      </c>
      <c r="I17" s="18">
        <f t="shared" si="0"/>
        <v>0.9824515040712916</v>
      </c>
      <c r="J17" s="18">
        <f>D26*I17/$F$9</f>
        <v>2.640321375983946</v>
      </c>
      <c r="K17" s="19">
        <f>ROUND(+J17/B$15*100,1)</f>
        <v>100</v>
      </c>
      <c r="L17" s="14"/>
      <c r="M17" s="14"/>
      <c r="N17" s="14"/>
      <c r="O17" s="14"/>
      <c r="P17" s="14"/>
      <c r="Q17" s="14" t="s">
        <v>88</v>
      </c>
      <c r="R17" s="14"/>
      <c r="S17" s="14"/>
      <c r="T17" s="14"/>
      <c r="U17" s="14"/>
      <c r="V17" s="14"/>
      <c r="W17" s="14"/>
      <c r="X17" s="30"/>
    </row>
    <row r="18" spans="1:24" ht="13.5">
      <c r="A18" s="14"/>
      <c r="B18" s="14"/>
      <c r="C18" s="14"/>
      <c r="D18" s="14"/>
      <c r="E18" s="14"/>
      <c r="F18" s="14"/>
      <c r="G18" s="14"/>
      <c r="H18" s="14"/>
      <c r="I18" s="209" t="s">
        <v>59</v>
      </c>
      <c r="J18" s="210"/>
      <c r="K18" s="20">
        <f>AVERAGE(K9:K17)</f>
        <v>99.92222222222222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30"/>
    </row>
    <row r="19" spans="1:24" ht="15" thickBot="1">
      <c r="A19" s="14"/>
      <c r="B19" s="14"/>
      <c r="C19" s="14"/>
      <c r="D19" s="14"/>
      <c r="E19" s="14"/>
      <c r="F19" s="14"/>
      <c r="G19" s="14"/>
      <c r="H19" s="14"/>
      <c r="I19" s="209" t="s">
        <v>60</v>
      </c>
      <c r="J19" s="210"/>
      <c r="K19" s="20">
        <f>K18-100</f>
        <v>-0.07777777777778283</v>
      </c>
      <c r="L19" s="14"/>
      <c r="M19" s="14"/>
      <c r="N19" s="14"/>
      <c r="O19" s="14"/>
      <c r="P19" s="14"/>
      <c r="Q19" s="14" t="s">
        <v>12</v>
      </c>
      <c r="R19" s="14"/>
      <c r="S19" s="14"/>
      <c r="T19" s="14"/>
      <c r="U19" s="14"/>
      <c r="V19" s="14"/>
      <c r="W19" s="14"/>
      <c r="X19" s="30"/>
    </row>
    <row r="20" spans="1:24" ht="13.5">
      <c r="A20" s="14"/>
      <c r="B20" s="14"/>
      <c r="C20" s="14"/>
      <c r="D20" s="14"/>
      <c r="E20" s="14"/>
      <c r="F20" s="14"/>
      <c r="G20" s="14"/>
      <c r="H20" s="14"/>
      <c r="I20" s="211"/>
      <c r="J20" s="211"/>
      <c r="K20" s="21"/>
      <c r="L20" s="14"/>
      <c r="P20" s="14"/>
      <c r="Q20" s="31" t="s">
        <v>62</v>
      </c>
      <c r="R20" s="31" t="s">
        <v>89</v>
      </c>
      <c r="S20" s="31" t="s">
        <v>13</v>
      </c>
      <c r="T20" s="31" t="s">
        <v>14</v>
      </c>
      <c r="U20" s="31" t="s">
        <v>15</v>
      </c>
      <c r="V20" s="14"/>
      <c r="W20" s="14"/>
      <c r="X20" s="30"/>
    </row>
    <row r="21" spans="1:24" ht="13.5">
      <c r="A21" s="14" t="s">
        <v>158</v>
      </c>
      <c r="B21" s="22"/>
      <c r="C21" s="22"/>
      <c r="D21" s="23"/>
      <c r="E21" s="14"/>
      <c r="F21" s="14"/>
      <c r="G21" s="14"/>
      <c r="H21" s="14"/>
      <c r="I21" s="14"/>
      <c r="J21" s="14"/>
      <c r="K21" s="14"/>
      <c r="P21" s="14"/>
      <c r="Q21" s="32" t="s">
        <v>90</v>
      </c>
      <c r="R21" s="32">
        <v>3</v>
      </c>
      <c r="S21" s="32">
        <v>300.1</v>
      </c>
      <c r="T21" s="33">
        <v>100.03333333333335</v>
      </c>
      <c r="U21" s="34">
        <v>0.003333333333332954</v>
      </c>
      <c r="V21" s="14"/>
      <c r="W21" s="14"/>
      <c r="X21" s="30"/>
    </row>
    <row r="22" spans="1:24" ht="13.5">
      <c r="A22" s="14" t="s">
        <v>159</v>
      </c>
      <c r="B22" s="14"/>
      <c r="C22" s="24">
        <v>8.80009</v>
      </c>
      <c r="D22" s="14"/>
      <c r="E22" s="14"/>
      <c r="F22" s="14"/>
      <c r="G22" s="14"/>
      <c r="H22" s="14"/>
      <c r="I22" s="14"/>
      <c r="J22" s="14"/>
      <c r="K22" s="14"/>
      <c r="P22" s="14"/>
      <c r="Q22" s="32" t="s">
        <v>91</v>
      </c>
      <c r="R22" s="32">
        <v>3</v>
      </c>
      <c r="S22" s="32">
        <v>299</v>
      </c>
      <c r="T22" s="33">
        <v>99.66666666666667</v>
      </c>
      <c r="U22" s="34">
        <v>0.02333333333333305</v>
      </c>
      <c r="V22" s="14"/>
      <c r="W22" s="14"/>
      <c r="X22" s="30"/>
    </row>
    <row r="23" spans="1:24" ht="15" thickBot="1">
      <c r="A23" s="25" t="s">
        <v>160</v>
      </c>
      <c r="B23" s="25"/>
      <c r="C23" s="14"/>
      <c r="D23" s="14"/>
      <c r="E23" s="14"/>
      <c r="F23" s="14"/>
      <c r="G23" s="14"/>
      <c r="H23" s="14"/>
      <c r="I23" s="14"/>
      <c r="J23" s="14"/>
      <c r="K23" s="14"/>
      <c r="P23" s="14"/>
      <c r="Q23" s="35" t="s">
        <v>92</v>
      </c>
      <c r="R23" s="35">
        <v>3</v>
      </c>
      <c r="S23" s="35">
        <v>300.2</v>
      </c>
      <c r="T23" s="36">
        <v>100.06666666666666</v>
      </c>
      <c r="U23" s="37">
        <v>0.093333333333336</v>
      </c>
      <c r="V23" s="14"/>
      <c r="W23" s="14"/>
      <c r="X23" s="30"/>
    </row>
    <row r="24" spans="1:24" ht="13.5">
      <c r="A24" s="26"/>
      <c r="B24" s="14" t="s">
        <v>61</v>
      </c>
      <c r="C24" s="14"/>
      <c r="D24" s="14"/>
      <c r="E24" s="14"/>
      <c r="F24" s="14"/>
      <c r="G24" s="14"/>
      <c r="H24" s="14"/>
      <c r="I24" s="14"/>
      <c r="J24" s="14"/>
      <c r="K24" s="14"/>
      <c r="P24" s="14"/>
      <c r="Q24" s="14"/>
      <c r="R24" s="14"/>
      <c r="S24" s="14"/>
      <c r="T24" s="14"/>
      <c r="U24" s="38"/>
      <c r="V24" s="14"/>
      <c r="W24" s="14"/>
      <c r="X24" s="30"/>
    </row>
    <row r="25" spans="1:24" ht="13.5">
      <c r="A25" s="14" t="s">
        <v>161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P25" s="14"/>
      <c r="Q25" s="14"/>
      <c r="R25" s="14"/>
      <c r="S25" s="14"/>
      <c r="T25" s="14"/>
      <c r="U25" s="38"/>
      <c r="V25" s="14"/>
      <c r="W25" s="14"/>
      <c r="X25" s="30"/>
    </row>
    <row r="26" spans="1:24" ht="15" thickBot="1">
      <c r="A26" s="14" t="s">
        <v>162</v>
      </c>
      <c r="B26" s="14"/>
      <c r="C26" s="14"/>
      <c r="D26" s="14">
        <v>2.3202</v>
      </c>
      <c r="E26" s="14"/>
      <c r="F26" s="14"/>
      <c r="G26" s="14"/>
      <c r="H26" s="14"/>
      <c r="I26" s="14"/>
      <c r="J26" s="14"/>
      <c r="K26" s="14"/>
      <c r="P26" s="14"/>
      <c r="Q26" s="14" t="s">
        <v>16</v>
      </c>
      <c r="R26" s="14"/>
      <c r="S26" s="14"/>
      <c r="T26" s="14"/>
      <c r="U26" s="38"/>
      <c r="V26" s="14"/>
      <c r="W26" s="14"/>
      <c r="X26" s="30"/>
    </row>
    <row r="27" spans="1:24" ht="15.75">
      <c r="A27" s="14" t="s">
        <v>86</v>
      </c>
      <c r="B27" s="14"/>
      <c r="C27" s="14"/>
      <c r="D27" s="14">
        <v>0.8633</v>
      </c>
      <c r="E27" s="14" t="s">
        <v>163</v>
      </c>
      <c r="F27" s="14"/>
      <c r="G27" s="14"/>
      <c r="H27" s="14"/>
      <c r="I27" s="14"/>
      <c r="J27" s="14"/>
      <c r="K27" s="14"/>
      <c r="P27" s="14"/>
      <c r="Q27" s="31" t="s">
        <v>17</v>
      </c>
      <c r="R27" s="31" t="s">
        <v>18</v>
      </c>
      <c r="S27" s="31" t="s">
        <v>19</v>
      </c>
      <c r="T27" s="31" t="s">
        <v>15</v>
      </c>
      <c r="U27" s="39" t="s">
        <v>20</v>
      </c>
      <c r="V27" s="31" t="s">
        <v>21</v>
      </c>
      <c r="W27" s="31" t="s">
        <v>22</v>
      </c>
      <c r="X27" s="30"/>
    </row>
    <row r="28" spans="1:24" ht="13.5">
      <c r="A28" s="26"/>
      <c r="B28" s="26" t="s">
        <v>164</v>
      </c>
      <c r="C28" s="26"/>
      <c r="D28" s="14">
        <v>944378</v>
      </c>
      <c r="E28" s="14"/>
      <c r="F28" s="14"/>
      <c r="G28" s="14"/>
      <c r="H28" s="14"/>
      <c r="I28" s="14"/>
      <c r="J28" s="14"/>
      <c r="K28" s="14"/>
      <c r="P28" s="14"/>
      <c r="Q28" s="32" t="s">
        <v>63</v>
      </c>
      <c r="R28" s="34">
        <v>0.295555555555555</v>
      </c>
      <c r="S28" s="32">
        <v>2</v>
      </c>
      <c r="T28" s="40">
        <v>0.1477777777777775</v>
      </c>
      <c r="U28" s="40">
        <v>3.6944444444443763</v>
      </c>
      <c r="V28" s="40">
        <v>0.08999536417913133</v>
      </c>
      <c r="W28" s="41">
        <v>5.143252849784718</v>
      </c>
      <c r="X28" s="30"/>
    </row>
    <row r="29" spans="1:24" ht="13.5">
      <c r="A29" s="26"/>
      <c r="B29" s="26" t="s">
        <v>87</v>
      </c>
      <c r="C29" s="14"/>
      <c r="D29" s="14">
        <v>1093871</v>
      </c>
      <c r="E29" s="14"/>
      <c r="F29" s="14"/>
      <c r="G29" s="14"/>
      <c r="H29" s="14"/>
      <c r="I29" s="14"/>
      <c r="J29" s="14"/>
      <c r="K29" s="14"/>
      <c r="P29" s="14"/>
      <c r="Q29" s="32" t="s">
        <v>64</v>
      </c>
      <c r="R29" s="32">
        <v>0.24000000000000402</v>
      </c>
      <c r="S29" s="32">
        <v>6</v>
      </c>
      <c r="T29" s="32">
        <v>0.04000000000000067</v>
      </c>
      <c r="U29" s="34"/>
      <c r="V29" s="32"/>
      <c r="W29" s="32"/>
      <c r="X29" s="30"/>
    </row>
    <row r="30" spans="1:24" ht="15.75">
      <c r="A30" s="14" t="s">
        <v>85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P30" s="14"/>
      <c r="Q30" s="32"/>
      <c r="R30" s="32"/>
      <c r="S30" s="32"/>
      <c r="T30" s="32"/>
      <c r="U30" s="34"/>
      <c r="V30" s="32"/>
      <c r="W30" s="32"/>
      <c r="X30" s="30"/>
    </row>
    <row r="31" spans="1:24" ht="15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P31" s="14"/>
      <c r="Q31" s="35" t="s">
        <v>13</v>
      </c>
      <c r="R31" s="55">
        <v>0.535555555555559</v>
      </c>
      <c r="S31" s="35">
        <v>8</v>
      </c>
      <c r="T31" s="35"/>
      <c r="U31" s="37"/>
      <c r="V31" s="35"/>
      <c r="W31" s="35"/>
      <c r="X31" s="30"/>
    </row>
    <row r="32" spans="1:24" ht="13.5">
      <c r="A32" s="14" t="s">
        <v>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P32" s="14"/>
      <c r="Q32" s="14"/>
      <c r="R32" s="14"/>
      <c r="S32" s="14"/>
      <c r="T32" s="14"/>
      <c r="U32" s="14"/>
      <c r="V32" s="30"/>
      <c r="W32" s="30"/>
      <c r="X32" s="30"/>
    </row>
  </sheetData>
  <sheetProtection/>
  <mergeCells count="22">
    <mergeCell ref="I18:J18"/>
    <mergeCell ref="I19:J19"/>
    <mergeCell ref="I20:J20"/>
    <mergeCell ref="C7:C8"/>
    <mergeCell ref="D7:F7"/>
    <mergeCell ref="B12:B14"/>
    <mergeCell ref="B15:B17"/>
    <mergeCell ref="B9:B11"/>
    <mergeCell ref="R9:T9"/>
    <mergeCell ref="A9:A11"/>
    <mergeCell ref="A12:A14"/>
    <mergeCell ref="A15:A17"/>
    <mergeCell ref="D9:D17"/>
    <mergeCell ref="A7:A8"/>
    <mergeCell ref="B7:B8"/>
    <mergeCell ref="A1:O1"/>
    <mergeCell ref="A2:O2"/>
    <mergeCell ref="G7:I7"/>
    <mergeCell ref="J7:J8"/>
    <mergeCell ref="K7:K8"/>
    <mergeCell ref="E9:E17"/>
    <mergeCell ref="F9:F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/>
  <ignoredErrors>
    <ignoredError sqref="R10:T10 Q21:Q23" numberStoredAsText="1"/>
  </ignoredErrors>
  <legacyDrawing r:id="rId2"/>
  <oleObjects>
    <oleObject progId="Equation.3" shapeId="8050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E2">
      <selection activeCell="M11" sqref="M11:M12"/>
    </sheetView>
  </sheetViews>
  <sheetFormatPr defaultColWidth="8.796875" defaultRowHeight="14.25"/>
  <cols>
    <col min="1" max="1" width="7.69921875" style="14" customWidth="1"/>
    <col min="2" max="2" width="10.796875" style="14" customWidth="1"/>
    <col min="3" max="3" width="5.296875" style="14" customWidth="1"/>
    <col min="4" max="9" width="10.296875" style="14" customWidth="1"/>
    <col min="10" max="10" width="11.19921875" style="14" customWidth="1"/>
    <col min="11" max="11" width="12.19921875" style="14" customWidth="1"/>
    <col min="12" max="12" width="3.296875" style="14" customWidth="1"/>
    <col min="13" max="13" width="10" style="14" customWidth="1"/>
    <col min="14" max="14" width="9.796875" style="14" customWidth="1"/>
    <col min="15" max="15" width="9.19921875" style="14" bestFit="1" customWidth="1"/>
    <col min="16" max="17" width="9.19921875" style="14" customWidth="1"/>
    <col min="18" max="18" width="19.796875" style="14" bestFit="1" customWidth="1"/>
    <col min="19" max="21" width="9.19921875" style="14" customWidth="1"/>
    <col min="22" max="22" width="17.796875" style="14" customWidth="1"/>
    <col min="23" max="23" width="9.19921875" style="14" customWidth="1"/>
    <col min="24" max="24" width="8.796875" style="30" customWidth="1"/>
    <col min="25" max="25" width="16.19921875" style="0" customWidth="1"/>
    <col min="26" max="26" width="13.796875" style="0" customWidth="1"/>
  </cols>
  <sheetData>
    <row r="1" spans="1:17" ht="21" customHeight="1">
      <c r="A1" s="217" t="s">
        <v>65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105"/>
      <c r="Q1" s="105"/>
    </row>
    <row r="2" spans="1:17" ht="21" customHeight="1">
      <c r="A2" s="217" t="s">
        <v>149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105"/>
      <c r="Q2" s="105"/>
    </row>
    <row r="3" spans="3:7" ht="16.5">
      <c r="C3" s="106"/>
      <c r="D3" s="106"/>
      <c r="E3" s="106"/>
      <c r="F3" s="106"/>
      <c r="G3" s="106"/>
    </row>
    <row r="4" spans="1:8" ht="15">
      <c r="A4" s="27" t="s">
        <v>37</v>
      </c>
      <c r="H4" s="27"/>
    </row>
    <row r="5" ht="12.75" customHeight="1">
      <c r="H5" s="27"/>
    </row>
    <row r="6" spans="1:13" ht="13.5">
      <c r="A6" s="13" t="s">
        <v>36</v>
      </c>
      <c r="B6" s="13"/>
      <c r="M6" s="13" t="s">
        <v>34</v>
      </c>
    </row>
    <row r="7" spans="1:14" ht="17.25" customHeight="1">
      <c r="A7" s="199" t="s">
        <v>1</v>
      </c>
      <c r="B7" s="199" t="s">
        <v>154</v>
      </c>
      <c r="C7" s="199" t="s">
        <v>28</v>
      </c>
      <c r="D7" s="192" t="s">
        <v>41</v>
      </c>
      <c r="E7" s="198"/>
      <c r="F7" s="193"/>
      <c r="G7" s="192" t="s">
        <v>43</v>
      </c>
      <c r="H7" s="198"/>
      <c r="I7" s="193"/>
      <c r="J7" s="199" t="s">
        <v>155</v>
      </c>
      <c r="K7" s="199" t="s">
        <v>2</v>
      </c>
      <c r="M7" s="42"/>
      <c r="N7" s="43"/>
    </row>
    <row r="8" spans="1:14" ht="31.5" customHeight="1">
      <c r="A8" s="200"/>
      <c r="B8" s="200"/>
      <c r="C8" s="200"/>
      <c r="D8" s="15" t="s">
        <v>156</v>
      </c>
      <c r="E8" s="15" t="s">
        <v>157</v>
      </c>
      <c r="F8" s="15" t="s">
        <v>76</v>
      </c>
      <c r="G8" s="15" t="s">
        <v>156</v>
      </c>
      <c r="H8" s="15" t="s">
        <v>157</v>
      </c>
      <c r="I8" s="15" t="s">
        <v>77</v>
      </c>
      <c r="J8" s="200"/>
      <c r="K8" s="200"/>
      <c r="M8" s="42"/>
      <c r="N8" s="43"/>
    </row>
    <row r="9" spans="1:14" ht="13.5" customHeight="1">
      <c r="A9" s="208">
        <v>80</v>
      </c>
      <c r="B9" s="212">
        <f>B22*20/100</f>
        <v>0</v>
      </c>
      <c r="C9" s="96">
        <v>1</v>
      </c>
      <c r="D9" s="194">
        <v>944378</v>
      </c>
      <c r="E9" s="194">
        <v>1093871</v>
      </c>
      <c r="F9" s="202">
        <f>D9/E9</f>
        <v>0.8633358046789795</v>
      </c>
      <c r="G9" s="87">
        <v>719236</v>
      </c>
      <c r="H9" s="87">
        <v>1096792</v>
      </c>
      <c r="I9" s="97">
        <f>G9/H9</f>
        <v>0.6557633534890845</v>
      </c>
      <c r="J9" s="97">
        <f>$B$27*I9/$F$9</f>
        <v>0</v>
      </c>
      <c r="K9" s="19">
        <v>100.1</v>
      </c>
      <c r="M9" s="42"/>
      <c r="N9" s="43"/>
    </row>
    <row r="10" spans="1:22" ht="13.5" customHeight="1">
      <c r="A10" s="208"/>
      <c r="B10" s="212"/>
      <c r="C10" s="96">
        <v>2</v>
      </c>
      <c r="D10" s="201"/>
      <c r="E10" s="201"/>
      <c r="F10" s="203"/>
      <c r="G10" s="87">
        <v>718255</v>
      </c>
      <c r="H10" s="87">
        <v>1097174</v>
      </c>
      <c r="I10" s="97">
        <f aca="true" t="shared" si="0" ref="I10:I17">G10/H10</f>
        <v>0.6546409229529683</v>
      </c>
      <c r="J10" s="97">
        <f aca="true" t="shared" si="1" ref="J10:J17">$B$27*I10/$F$9</f>
        <v>0</v>
      </c>
      <c r="K10" s="19">
        <v>100</v>
      </c>
      <c r="M10" s="42"/>
      <c r="N10" s="43"/>
      <c r="T10" s="222"/>
      <c r="U10" s="222"/>
      <c r="V10" s="222"/>
    </row>
    <row r="11" spans="1:22" ht="13.5" customHeight="1">
      <c r="A11" s="208"/>
      <c r="B11" s="212"/>
      <c r="C11" s="96">
        <v>3</v>
      </c>
      <c r="D11" s="201"/>
      <c r="E11" s="201"/>
      <c r="F11" s="203"/>
      <c r="G11" s="87">
        <v>718512</v>
      </c>
      <c r="H11" s="87">
        <v>1096652</v>
      </c>
      <c r="I11" s="97">
        <f t="shared" si="0"/>
        <v>0.6551868778792178</v>
      </c>
      <c r="J11" s="97">
        <f t="shared" si="1"/>
        <v>0</v>
      </c>
      <c r="K11" s="19">
        <v>100</v>
      </c>
      <c r="M11" s="84" t="s">
        <v>32</v>
      </c>
      <c r="N11" s="44"/>
      <c r="O11" s="108">
        <v>0.1</v>
      </c>
      <c r="T11" s="223"/>
      <c r="U11" s="223"/>
      <c r="V11" s="223"/>
    </row>
    <row r="12" spans="1:22" ht="13.5" customHeight="1">
      <c r="A12" s="208">
        <v>100</v>
      </c>
      <c r="B12" s="212">
        <f>B22*25/100</f>
        <v>0</v>
      </c>
      <c r="C12" s="96">
        <v>1</v>
      </c>
      <c r="D12" s="201"/>
      <c r="E12" s="201"/>
      <c r="F12" s="203"/>
      <c r="G12" s="87">
        <v>897158</v>
      </c>
      <c r="H12" s="87">
        <v>1098651</v>
      </c>
      <c r="I12" s="97">
        <f t="shared" si="0"/>
        <v>0.8165996299097712</v>
      </c>
      <c r="J12" s="97">
        <f t="shared" si="1"/>
        <v>0</v>
      </c>
      <c r="K12" s="19">
        <v>99.8</v>
      </c>
      <c r="M12" s="84" t="s">
        <v>35</v>
      </c>
      <c r="N12" s="44"/>
      <c r="O12" s="109">
        <v>6</v>
      </c>
      <c r="S12" s="96"/>
      <c r="T12" s="224" t="s">
        <v>1</v>
      </c>
      <c r="U12" s="225"/>
      <c r="V12" s="226"/>
    </row>
    <row r="13" spans="1:22" ht="13.5" customHeight="1">
      <c r="A13" s="208"/>
      <c r="B13" s="212"/>
      <c r="C13" s="96">
        <v>2</v>
      </c>
      <c r="D13" s="201"/>
      <c r="E13" s="201"/>
      <c r="F13" s="203"/>
      <c r="G13" s="87">
        <v>895950</v>
      </c>
      <c r="H13" s="87">
        <v>1098002</v>
      </c>
      <c r="I13" s="97">
        <f t="shared" si="0"/>
        <v>0.8159821202511471</v>
      </c>
      <c r="J13" s="97">
        <f t="shared" si="1"/>
        <v>0</v>
      </c>
      <c r="K13" s="19">
        <v>99.7</v>
      </c>
      <c r="M13" s="84" t="s">
        <v>33</v>
      </c>
      <c r="N13" s="44"/>
      <c r="O13" s="123">
        <f>U31</f>
        <v>0.04000000000000067</v>
      </c>
      <c r="S13" s="96" t="s">
        <v>94</v>
      </c>
      <c r="T13" s="45" t="s">
        <v>90</v>
      </c>
      <c r="U13" s="45" t="s">
        <v>91</v>
      </c>
      <c r="V13" s="45" t="s">
        <v>92</v>
      </c>
    </row>
    <row r="14" spans="1:22" ht="13.5" customHeight="1">
      <c r="A14" s="208"/>
      <c r="B14" s="212"/>
      <c r="C14" s="96">
        <v>3</v>
      </c>
      <c r="D14" s="201"/>
      <c r="E14" s="201"/>
      <c r="F14" s="203"/>
      <c r="G14" s="87">
        <v>894747</v>
      </c>
      <c r="H14" s="87">
        <v>1097974</v>
      </c>
      <c r="I14" s="97">
        <f t="shared" si="0"/>
        <v>0.8149072746713493</v>
      </c>
      <c r="J14" s="97">
        <f t="shared" si="1"/>
        <v>0</v>
      </c>
      <c r="K14" s="19">
        <v>99.5</v>
      </c>
      <c r="M14" s="47" t="s">
        <v>79</v>
      </c>
      <c r="N14" s="86"/>
      <c r="O14" s="110">
        <f>ROUND(CHIINV(O11/2,O12),2)</f>
        <v>12.59</v>
      </c>
      <c r="S14" s="96">
        <v>1</v>
      </c>
      <c r="T14" s="19">
        <v>100.1</v>
      </c>
      <c r="U14" s="19">
        <v>99.8</v>
      </c>
      <c r="V14" s="19">
        <v>100.4</v>
      </c>
    </row>
    <row r="15" spans="1:22" ht="13.5" customHeight="1">
      <c r="A15" s="208">
        <v>120</v>
      </c>
      <c r="B15" s="212">
        <f>B22*30/100</f>
        <v>0</v>
      </c>
      <c r="C15" s="96">
        <v>1</v>
      </c>
      <c r="D15" s="201"/>
      <c r="E15" s="201"/>
      <c r="F15" s="203"/>
      <c r="G15" s="87">
        <v>1074004</v>
      </c>
      <c r="H15" s="87">
        <v>1089491</v>
      </c>
      <c r="I15" s="97">
        <f t="shared" si="0"/>
        <v>0.9857851051546089</v>
      </c>
      <c r="J15" s="97">
        <f t="shared" si="1"/>
        <v>0</v>
      </c>
      <c r="K15" s="19">
        <v>100.4</v>
      </c>
      <c r="M15" s="47" t="s">
        <v>80</v>
      </c>
      <c r="N15" s="85"/>
      <c r="O15" s="111">
        <f>ROUND(CHIINV(1-O11/2,O12),3)</f>
        <v>1.635</v>
      </c>
      <c r="S15" s="96">
        <v>2</v>
      </c>
      <c r="T15" s="19">
        <v>100</v>
      </c>
      <c r="U15" s="19">
        <v>99.7</v>
      </c>
      <c r="V15" s="19">
        <v>99.8</v>
      </c>
    </row>
    <row r="16" spans="1:22" ht="13.5" customHeight="1">
      <c r="A16" s="208"/>
      <c r="B16" s="212"/>
      <c r="C16" s="96">
        <v>2</v>
      </c>
      <c r="D16" s="201"/>
      <c r="E16" s="201"/>
      <c r="F16" s="203"/>
      <c r="G16" s="87">
        <v>1057407</v>
      </c>
      <c r="H16" s="87">
        <v>1078640</v>
      </c>
      <c r="I16" s="97">
        <f t="shared" si="0"/>
        <v>0.9803150263294519</v>
      </c>
      <c r="J16" s="97">
        <f t="shared" si="1"/>
        <v>0</v>
      </c>
      <c r="K16" s="19">
        <v>99.8</v>
      </c>
      <c r="M16" s="215">
        <f>SQRT(O12*O13/O14)</f>
        <v>0.13806791159740076</v>
      </c>
      <c r="N16" s="218" t="s">
        <v>78</v>
      </c>
      <c r="O16" s="213">
        <f>SQRT(O12*O13/O15)</f>
        <v>0.38313051408846377</v>
      </c>
      <c r="S16" s="96">
        <v>3</v>
      </c>
      <c r="T16" s="112">
        <v>100</v>
      </c>
      <c r="U16" s="112">
        <v>99.5</v>
      </c>
      <c r="V16" s="112">
        <v>100</v>
      </c>
    </row>
    <row r="17" spans="1:15" ht="13.5" customHeight="1">
      <c r="A17" s="208"/>
      <c r="B17" s="212"/>
      <c r="C17" s="96">
        <v>3</v>
      </c>
      <c r="D17" s="195"/>
      <c r="E17" s="195"/>
      <c r="F17" s="204"/>
      <c r="G17" s="87">
        <v>1066961</v>
      </c>
      <c r="H17" s="87">
        <v>1086019</v>
      </c>
      <c r="I17" s="97">
        <f t="shared" si="0"/>
        <v>0.9824515040712916</v>
      </c>
      <c r="J17" s="97">
        <f t="shared" si="1"/>
        <v>0</v>
      </c>
      <c r="K17" s="19">
        <v>100</v>
      </c>
      <c r="M17" s="216"/>
      <c r="N17" s="219"/>
      <c r="O17" s="214"/>
    </row>
    <row r="18" spans="9:11" ht="13.5">
      <c r="I18" s="209" t="s">
        <v>30</v>
      </c>
      <c r="J18" s="210"/>
      <c r="K18" s="20">
        <f>AVERAGE(K9:K17)</f>
        <v>99.92222222222222</v>
      </c>
    </row>
    <row r="19" spans="9:24" ht="13.5">
      <c r="I19" s="209" t="s">
        <v>31</v>
      </c>
      <c r="J19" s="210"/>
      <c r="K19" s="113">
        <f>SQRT(O13)</f>
        <v>0.20000000000000168</v>
      </c>
      <c r="R19" s="14" t="s">
        <v>88</v>
      </c>
      <c r="X19" s="14"/>
    </row>
    <row r="20" spans="9:24" ht="13.5">
      <c r="I20" s="209" t="s">
        <v>81</v>
      </c>
      <c r="J20" s="210"/>
      <c r="K20" s="114">
        <f>K19/K18*100</f>
        <v>0.20015567663738631</v>
      </c>
      <c r="X20" s="14"/>
    </row>
    <row r="21" spans="18:24" ht="15" thickBot="1">
      <c r="R21" s="14" t="s">
        <v>12</v>
      </c>
      <c r="X21" s="14"/>
    </row>
    <row r="22" spans="2:24" ht="13.5">
      <c r="B22" s="227"/>
      <c r="C22" s="227"/>
      <c r="D22" s="227"/>
      <c r="E22" s="227"/>
      <c r="F22" s="26"/>
      <c r="G22" s="26"/>
      <c r="H22" s="26"/>
      <c r="R22" s="31" t="s">
        <v>62</v>
      </c>
      <c r="S22" s="31" t="s">
        <v>89</v>
      </c>
      <c r="T22" s="31" t="s">
        <v>13</v>
      </c>
      <c r="U22" s="31" t="s">
        <v>14</v>
      </c>
      <c r="V22" s="31" t="s">
        <v>15</v>
      </c>
      <c r="X22" s="14"/>
    </row>
    <row r="23" spans="2:24" ht="13.5">
      <c r="B23" s="115"/>
      <c r="C23" s="115"/>
      <c r="D23" s="115"/>
      <c r="E23" s="115"/>
      <c r="F23" s="26"/>
      <c r="G23" s="26"/>
      <c r="H23" s="26"/>
      <c r="R23" s="32" t="s">
        <v>90</v>
      </c>
      <c r="S23" s="32">
        <v>3</v>
      </c>
      <c r="T23" s="32">
        <v>300.1</v>
      </c>
      <c r="U23" s="40">
        <v>100.03333333333335</v>
      </c>
      <c r="V23" s="116">
        <v>0.003333333333332954</v>
      </c>
      <c r="X23" s="14"/>
    </row>
    <row r="24" spans="18:24" ht="13.5">
      <c r="R24" s="32" t="s">
        <v>91</v>
      </c>
      <c r="S24" s="32">
        <v>3</v>
      </c>
      <c r="T24" s="32">
        <v>299</v>
      </c>
      <c r="U24" s="40">
        <v>99.66666666666667</v>
      </c>
      <c r="V24" s="116">
        <v>0.02333333333333305</v>
      </c>
      <c r="X24" s="14"/>
    </row>
    <row r="25" spans="18:24" ht="15" thickBot="1">
      <c r="R25" s="35" t="s">
        <v>92</v>
      </c>
      <c r="S25" s="35">
        <v>3</v>
      </c>
      <c r="T25" s="35">
        <v>300.2</v>
      </c>
      <c r="U25" s="117">
        <v>100.06666666666666</v>
      </c>
      <c r="V25" s="55">
        <v>0.093333333333336</v>
      </c>
      <c r="X25" s="14"/>
    </row>
    <row r="26" ht="13.5">
      <c r="X26" s="14"/>
    </row>
    <row r="27" spans="2:24" ht="13.5">
      <c r="B27" s="221"/>
      <c r="C27" s="221"/>
      <c r="D27" s="221"/>
      <c r="E27" s="221"/>
      <c r="F27" s="221"/>
      <c r="G27" s="26"/>
      <c r="H27" s="26"/>
      <c r="I27" s="26"/>
      <c r="X27" s="14"/>
    </row>
    <row r="28" spans="2:24" ht="15" thickBot="1">
      <c r="B28" s="220"/>
      <c r="C28" s="220"/>
      <c r="D28" s="220"/>
      <c r="E28" s="220"/>
      <c r="F28" s="220"/>
      <c r="G28" s="220"/>
      <c r="H28" s="220"/>
      <c r="I28" s="220"/>
      <c r="R28" s="14" t="s">
        <v>16</v>
      </c>
      <c r="X28" s="14"/>
    </row>
    <row r="29" spans="18:24" ht="13.5">
      <c r="R29" s="31" t="s">
        <v>17</v>
      </c>
      <c r="S29" s="31" t="s">
        <v>18</v>
      </c>
      <c r="T29" s="31" t="s">
        <v>19</v>
      </c>
      <c r="U29" s="31" t="s">
        <v>15</v>
      </c>
      <c r="V29" s="31" t="s">
        <v>20</v>
      </c>
      <c r="W29" s="31" t="s">
        <v>21</v>
      </c>
      <c r="X29" s="31" t="s">
        <v>22</v>
      </c>
    </row>
    <row r="30" spans="18:24" ht="13.5">
      <c r="R30" s="32" t="s">
        <v>63</v>
      </c>
      <c r="S30" s="34">
        <v>0.295555555555555</v>
      </c>
      <c r="T30" s="32">
        <v>2</v>
      </c>
      <c r="U30" s="40">
        <v>0.1477777777777775</v>
      </c>
      <c r="V30" s="40">
        <v>3.6944444444443763</v>
      </c>
      <c r="W30" s="41">
        <v>0.08999536417913133</v>
      </c>
      <c r="X30" s="41">
        <v>5.143252849784718</v>
      </c>
    </row>
    <row r="31" spans="18:24" ht="13.5">
      <c r="R31" s="32" t="s">
        <v>64</v>
      </c>
      <c r="S31" s="34">
        <v>0.24000000000000402</v>
      </c>
      <c r="T31" s="32">
        <v>6</v>
      </c>
      <c r="U31" s="122">
        <v>0.04000000000000067</v>
      </c>
      <c r="V31" s="32"/>
      <c r="W31" s="32"/>
      <c r="X31" s="32"/>
    </row>
    <row r="32" spans="18:24" ht="13.5">
      <c r="R32" s="32"/>
      <c r="S32" s="34"/>
      <c r="T32" s="32"/>
      <c r="U32" s="32"/>
      <c r="V32" s="32"/>
      <c r="W32" s="32"/>
      <c r="X32" s="32"/>
    </row>
    <row r="33" spans="1:24" ht="15" thickBot="1">
      <c r="A33" s="119"/>
      <c r="R33" s="35" t="s">
        <v>13</v>
      </c>
      <c r="S33" s="37">
        <v>0.535555555555559</v>
      </c>
      <c r="T33" s="35">
        <v>8</v>
      </c>
      <c r="U33" s="35"/>
      <c r="V33" s="35"/>
      <c r="W33" s="35"/>
      <c r="X33" s="35"/>
    </row>
    <row r="34" ht="13.5">
      <c r="A34" s="119"/>
    </row>
  </sheetData>
  <sheetProtection/>
  <mergeCells count="30">
    <mergeCell ref="T10:V10"/>
    <mergeCell ref="T11:V11"/>
    <mergeCell ref="T12:V12"/>
    <mergeCell ref="K7:K8"/>
    <mergeCell ref="B22:E22"/>
    <mergeCell ref="B7:B8"/>
    <mergeCell ref="C7:C8"/>
    <mergeCell ref="D7:F7"/>
    <mergeCell ref="B9:B11"/>
    <mergeCell ref="J7:J8"/>
    <mergeCell ref="F9:F17"/>
    <mergeCell ref="B28:I28"/>
    <mergeCell ref="B12:B14"/>
    <mergeCell ref="B15:B17"/>
    <mergeCell ref="I19:J19"/>
    <mergeCell ref="I20:J20"/>
    <mergeCell ref="I18:J18"/>
    <mergeCell ref="B27:F27"/>
    <mergeCell ref="D9:D17"/>
    <mergeCell ref="E9:E17"/>
    <mergeCell ref="O16:O17"/>
    <mergeCell ref="M16:M17"/>
    <mergeCell ref="A1:O1"/>
    <mergeCell ref="A2:O2"/>
    <mergeCell ref="N16:N17"/>
    <mergeCell ref="A12:A14"/>
    <mergeCell ref="A15:A17"/>
    <mergeCell ref="A9:A11"/>
    <mergeCell ref="A7:A8"/>
    <mergeCell ref="G7:I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7"/>
  <sheetViews>
    <sheetView zoomScale="90" zoomScaleNormal="90" zoomScalePageLayoutView="0" workbookViewId="0" topLeftCell="A1">
      <selection activeCell="O32" sqref="O32"/>
    </sheetView>
  </sheetViews>
  <sheetFormatPr defaultColWidth="8.796875" defaultRowHeight="14.25"/>
  <cols>
    <col min="1" max="1" width="5.796875" style="14" customWidth="1"/>
    <col min="2" max="2" width="7.296875" style="14" customWidth="1"/>
    <col min="3" max="3" width="10.5" style="14" customWidth="1"/>
    <col min="4" max="4" width="14.19921875" style="14" customWidth="1"/>
    <col min="5" max="5" width="12" style="14" customWidth="1"/>
    <col min="6" max="6" width="16.69921875" style="14" customWidth="1"/>
    <col min="7" max="10" width="10.796875" style="14" customWidth="1"/>
    <col min="11" max="11" width="9.796875" style="14" customWidth="1"/>
    <col min="12" max="12" width="7.19921875" style="14" customWidth="1"/>
    <col min="13" max="13" width="2.796875" style="14" bestFit="1" customWidth="1"/>
    <col min="14" max="14" width="5.19921875" style="14" bestFit="1" customWidth="1"/>
    <col min="15" max="15" width="6.19921875" style="14" bestFit="1" customWidth="1"/>
    <col min="16" max="18" width="5.19921875" style="14" bestFit="1" customWidth="1"/>
    <col min="19" max="19" width="6.19921875" style="14" bestFit="1" customWidth="1"/>
    <col min="20" max="20" width="12.296875" style="14" customWidth="1"/>
    <col min="21" max="21" width="13.5" style="14" customWidth="1"/>
    <col min="22" max="22" width="8.796875" style="14" customWidth="1"/>
    <col min="23" max="23" width="8.796875" style="30" customWidth="1"/>
    <col min="24" max="24" width="17.796875" style="30" customWidth="1"/>
    <col min="25" max="26" width="8.796875" style="30" customWidth="1"/>
  </cols>
  <sheetData>
    <row r="1" spans="1:23" ht="16.5">
      <c r="A1" s="217" t="s">
        <v>68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27"/>
    </row>
    <row r="2" spans="1:23" ht="16.5">
      <c r="A2" s="217" t="s">
        <v>148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127"/>
    </row>
    <row r="3" spans="12:23" ht="13.5"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127"/>
    </row>
    <row r="4" spans="1:23" ht="15">
      <c r="A4" s="27" t="s">
        <v>38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127"/>
    </row>
    <row r="5" spans="11:23" ht="13.5">
      <c r="K5" s="128"/>
      <c r="L5" s="32"/>
      <c r="M5" s="32"/>
      <c r="N5" s="32"/>
      <c r="O5" s="129"/>
      <c r="P5" s="32"/>
      <c r="Q5" s="32"/>
      <c r="R5" s="32"/>
      <c r="S5" s="32"/>
      <c r="T5" s="32"/>
      <c r="U5" s="32"/>
      <c r="V5" s="32"/>
      <c r="W5" s="127"/>
    </row>
    <row r="6" spans="1:23" ht="18" customHeight="1">
      <c r="A6" s="241"/>
      <c r="B6" s="242"/>
      <c r="C6" s="245" t="s">
        <v>46</v>
      </c>
      <c r="D6" s="192" t="s">
        <v>41</v>
      </c>
      <c r="E6" s="198"/>
      <c r="F6" s="193"/>
      <c r="G6" s="192" t="s">
        <v>43</v>
      </c>
      <c r="H6" s="198"/>
      <c r="I6" s="193"/>
      <c r="J6" s="234" t="s">
        <v>166</v>
      </c>
      <c r="K6" s="234" t="s">
        <v>47</v>
      </c>
      <c r="L6" s="32"/>
      <c r="M6" s="130"/>
      <c r="N6" s="131"/>
      <c r="O6" s="107"/>
      <c r="P6" s="107"/>
      <c r="Q6" s="107"/>
      <c r="R6" s="107"/>
      <c r="S6" s="107"/>
      <c r="T6" s="32"/>
      <c r="U6" s="32"/>
      <c r="V6" s="32"/>
      <c r="W6" s="127"/>
    </row>
    <row r="7" spans="1:23" ht="30" customHeight="1">
      <c r="A7" s="243"/>
      <c r="B7" s="244"/>
      <c r="C7" s="246"/>
      <c r="D7" s="167" t="s">
        <v>156</v>
      </c>
      <c r="E7" s="167" t="s">
        <v>157</v>
      </c>
      <c r="F7" s="167" t="s">
        <v>183</v>
      </c>
      <c r="G7" s="167" t="s">
        <v>156</v>
      </c>
      <c r="H7" s="167" t="s">
        <v>157</v>
      </c>
      <c r="I7" s="167" t="s">
        <v>184</v>
      </c>
      <c r="J7" s="235"/>
      <c r="K7" s="235"/>
      <c r="L7" s="32"/>
      <c r="M7" s="130"/>
      <c r="N7" s="131"/>
      <c r="O7" s="107"/>
      <c r="P7" s="107"/>
      <c r="Q7" s="107"/>
      <c r="R7" s="107"/>
      <c r="S7" s="107"/>
      <c r="T7" s="32"/>
      <c r="U7" s="32"/>
      <c r="V7" s="32"/>
      <c r="W7" s="127"/>
    </row>
    <row r="8" spans="1:23" ht="14.25" customHeight="1">
      <c r="A8" s="236" t="s">
        <v>23</v>
      </c>
      <c r="B8" s="194">
        <v>1</v>
      </c>
      <c r="C8" s="194" t="s">
        <v>48</v>
      </c>
      <c r="D8" s="194">
        <v>965097</v>
      </c>
      <c r="E8" s="194">
        <v>1118556</v>
      </c>
      <c r="F8" s="202">
        <f>D8/E8</f>
        <v>0.8628061536480963</v>
      </c>
      <c r="G8" s="102">
        <v>917877</v>
      </c>
      <c r="H8" s="102">
        <v>1123631</v>
      </c>
      <c r="I8" s="132">
        <f>G8/H8</f>
        <v>0.8168847246115495</v>
      </c>
      <c r="J8" s="133">
        <f>$B$24*I8/F8</f>
        <v>2.196711196402463</v>
      </c>
      <c r="K8" s="134">
        <f>ROUND(J8/2.2*100,1)</f>
        <v>99.9</v>
      </c>
      <c r="L8" s="32"/>
      <c r="M8" s="135"/>
      <c r="N8" s="136">
        <v>1</v>
      </c>
      <c r="O8" s="136">
        <v>2</v>
      </c>
      <c r="P8" s="136">
        <v>3</v>
      </c>
      <c r="Q8" s="136">
        <v>4</v>
      </c>
      <c r="R8" s="136">
        <v>5</v>
      </c>
      <c r="S8" s="136">
        <v>6</v>
      </c>
      <c r="T8" s="32"/>
      <c r="U8" s="32"/>
      <c r="V8" s="32"/>
      <c r="W8" s="127"/>
    </row>
    <row r="9" spans="1:23" ht="14.25" customHeight="1">
      <c r="A9" s="237"/>
      <c r="B9" s="195"/>
      <c r="C9" s="195"/>
      <c r="D9" s="195"/>
      <c r="E9" s="195"/>
      <c r="F9" s="204"/>
      <c r="G9" s="102">
        <v>920531</v>
      </c>
      <c r="H9" s="102">
        <v>1125204</v>
      </c>
      <c r="I9" s="132">
        <f aca="true" t="shared" si="0" ref="I9:I19">G9/H9</f>
        <v>0.8181014287187035</v>
      </c>
      <c r="J9" s="133">
        <f>$B$24*I9/F8</f>
        <v>2.1999830748626277</v>
      </c>
      <c r="K9" s="134">
        <f aca="true" t="shared" si="1" ref="K9:K19">ROUND(J9/2.2*100,1)</f>
        <v>100</v>
      </c>
      <c r="L9" s="32"/>
      <c r="M9" s="135">
        <v>1</v>
      </c>
      <c r="N9" s="136">
        <v>99.9</v>
      </c>
      <c r="O9" s="136">
        <v>100.2</v>
      </c>
      <c r="P9" s="136">
        <v>99.9</v>
      </c>
      <c r="Q9" s="136">
        <v>99.9</v>
      </c>
      <c r="R9" s="136">
        <v>99.7</v>
      </c>
      <c r="S9" s="136">
        <v>100.2</v>
      </c>
      <c r="T9" s="32"/>
      <c r="U9" s="32"/>
      <c r="V9" s="32"/>
      <c r="W9" s="127"/>
    </row>
    <row r="10" spans="1:23" ht="14.25" customHeight="1">
      <c r="A10" s="237"/>
      <c r="B10" s="194">
        <v>2</v>
      </c>
      <c r="C10" s="194" t="s">
        <v>49</v>
      </c>
      <c r="D10" s="194">
        <v>1019595</v>
      </c>
      <c r="E10" s="194">
        <v>1167982</v>
      </c>
      <c r="F10" s="202">
        <f>D10/E10</f>
        <v>0.8729543777215745</v>
      </c>
      <c r="G10" s="102">
        <v>964869</v>
      </c>
      <c r="H10" s="102">
        <v>1163677</v>
      </c>
      <c r="I10" s="132">
        <f t="shared" si="0"/>
        <v>0.8291553412158185</v>
      </c>
      <c r="J10" s="133">
        <f>$B$25*I10/F10</f>
        <v>2.203664339842672</v>
      </c>
      <c r="K10" s="134">
        <f t="shared" si="1"/>
        <v>100.2</v>
      </c>
      <c r="L10" s="32"/>
      <c r="M10" s="135">
        <v>2</v>
      </c>
      <c r="N10" s="136">
        <v>100</v>
      </c>
      <c r="O10" s="136">
        <v>100.4</v>
      </c>
      <c r="P10" s="136">
        <v>99.9</v>
      </c>
      <c r="Q10" s="136">
        <v>99.6</v>
      </c>
      <c r="R10" s="136">
        <v>100</v>
      </c>
      <c r="S10" s="136">
        <v>100.1</v>
      </c>
      <c r="T10" s="32"/>
      <c r="U10" s="32"/>
      <c r="V10" s="32"/>
      <c r="W10" s="127"/>
    </row>
    <row r="11" spans="1:23" ht="14.25" customHeight="1">
      <c r="A11" s="237"/>
      <c r="B11" s="195"/>
      <c r="C11" s="195"/>
      <c r="D11" s="195"/>
      <c r="E11" s="195"/>
      <c r="F11" s="204"/>
      <c r="G11" s="102">
        <v>965320</v>
      </c>
      <c r="H11" s="102">
        <v>1161910</v>
      </c>
      <c r="I11" s="132">
        <f t="shared" si="0"/>
        <v>0.8308044512914081</v>
      </c>
      <c r="J11" s="133">
        <f>$B$25*I11/F10</f>
        <v>2.208047215867716</v>
      </c>
      <c r="K11" s="134">
        <f t="shared" si="1"/>
        <v>100.4</v>
      </c>
      <c r="L11" s="32"/>
      <c r="M11" s="130"/>
      <c r="O11" s="32"/>
      <c r="P11" s="32"/>
      <c r="Q11" s="32"/>
      <c r="R11" s="32"/>
      <c r="S11" s="32"/>
      <c r="T11" s="32"/>
      <c r="U11" s="32"/>
      <c r="V11" s="32"/>
      <c r="W11" s="127"/>
    </row>
    <row r="12" spans="1:23" ht="14.25" customHeight="1">
      <c r="A12" s="237"/>
      <c r="B12" s="194">
        <v>3</v>
      </c>
      <c r="C12" s="194" t="s">
        <v>49</v>
      </c>
      <c r="D12" s="194">
        <v>958582</v>
      </c>
      <c r="E12" s="194">
        <v>1106233</v>
      </c>
      <c r="F12" s="202">
        <f>D12/E12</f>
        <v>0.8665281183982037</v>
      </c>
      <c r="G12" s="102">
        <v>906761</v>
      </c>
      <c r="H12" s="102">
        <v>1104630</v>
      </c>
      <c r="I12" s="132">
        <f t="shared" si="0"/>
        <v>0.8208730525153218</v>
      </c>
      <c r="J12" s="133">
        <f>$B$25*I12/F12</f>
        <v>2.1978316716019575</v>
      </c>
      <c r="K12" s="134">
        <f t="shared" si="1"/>
        <v>99.9</v>
      </c>
      <c r="L12" s="32"/>
      <c r="M12" s="130"/>
      <c r="O12" s="32"/>
      <c r="P12" s="32"/>
      <c r="Q12" s="32"/>
      <c r="R12" s="32"/>
      <c r="S12" s="32"/>
      <c r="T12" s="32"/>
      <c r="U12" s="32"/>
      <c r="V12" s="32"/>
      <c r="W12" s="127"/>
    </row>
    <row r="13" spans="1:26" ht="14.25" customHeight="1">
      <c r="A13" s="237"/>
      <c r="B13" s="195"/>
      <c r="C13" s="195"/>
      <c r="D13" s="195"/>
      <c r="E13" s="195"/>
      <c r="F13" s="204"/>
      <c r="G13" s="102">
        <v>908771</v>
      </c>
      <c r="H13" s="102">
        <v>1106747</v>
      </c>
      <c r="I13" s="132">
        <f t="shared" si="0"/>
        <v>0.8211190091321684</v>
      </c>
      <c r="J13" s="133">
        <f>$B$25*I13/F12</f>
        <v>2.198490203686412</v>
      </c>
      <c r="K13" s="134">
        <f t="shared" si="1"/>
        <v>99.9</v>
      </c>
      <c r="L13" s="32"/>
      <c r="T13" s="14" t="s">
        <v>88</v>
      </c>
      <c r="W13" s="14"/>
      <c r="X13" s="14"/>
      <c r="Y13" s="14"/>
      <c r="Z13" s="14"/>
    </row>
    <row r="14" spans="1:26" ht="14.25" customHeight="1">
      <c r="A14" s="201"/>
      <c r="B14" s="194">
        <v>4</v>
      </c>
      <c r="C14" s="194" t="s">
        <v>48</v>
      </c>
      <c r="D14" s="194">
        <v>1020429</v>
      </c>
      <c r="E14" s="194">
        <v>1169832</v>
      </c>
      <c r="F14" s="202">
        <f>D14/E14</f>
        <v>0.8722867898980367</v>
      </c>
      <c r="G14" s="102">
        <v>964966</v>
      </c>
      <c r="H14" s="102">
        <v>1168258</v>
      </c>
      <c r="I14" s="132">
        <f t="shared" si="0"/>
        <v>0.8259870679250645</v>
      </c>
      <c r="J14" s="133">
        <f>$B$24*I14/F14</f>
        <v>2.1970471377008387</v>
      </c>
      <c r="K14" s="134">
        <f t="shared" si="1"/>
        <v>99.9</v>
      </c>
      <c r="L14" s="32"/>
      <c r="W14" s="14"/>
      <c r="X14" s="14"/>
      <c r="Y14" s="14"/>
      <c r="Z14" s="14"/>
    </row>
    <row r="15" spans="1:26" ht="14.25" customHeight="1" thickBot="1">
      <c r="A15" s="201"/>
      <c r="B15" s="195"/>
      <c r="C15" s="195"/>
      <c r="D15" s="195"/>
      <c r="E15" s="195"/>
      <c r="F15" s="204"/>
      <c r="G15" s="102">
        <v>964463</v>
      </c>
      <c r="H15" s="102">
        <v>1170894</v>
      </c>
      <c r="I15" s="132">
        <f t="shared" si="0"/>
        <v>0.8236979607035309</v>
      </c>
      <c r="J15" s="133">
        <f>$B$24*I15/F14</f>
        <v>2.190958329940695</v>
      </c>
      <c r="K15" s="134">
        <f t="shared" si="1"/>
        <v>99.6</v>
      </c>
      <c r="L15" s="32"/>
      <c r="T15" s="14" t="s">
        <v>12</v>
      </c>
      <c r="W15" s="14"/>
      <c r="X15" s="14"/>
      <c r="Y15" s="14"/>
      <c r="Z15" s="14"/>
    </row>
    <row r="16" spans="1:26" ht="14.25" customHeight="1">
      <c r="A16" s="201"/>
      <c r="B16" s="194">
        <v>5</v>
      </c>
      <c r="C16" s="194" t="s">
        <v>48</v>
      </c>
      <c r="D16" s="194">
        <v>952745</v>
      </c>
      <c r="E16" s="194">
        <v>1102286</v>
      </c>
      <c r="F16" s="202">
        <f>D16/E16</f>
        <v>0.8643355717118788</v>
      </c>
      <c r="G16" s="102">
        <v>909082</v>
      </c>
      <c r="H16" s="102">
        <v>1112467</v>
      </c>
      <c r="I16" s="132">
        <f t="shared" si="0"/>
        <v>0.8171765993957574</v>
      </c>
      <c r="J16" s="133">
        <f>$B$24*I16/F16</f>
        <v>2.1936076773548097</v>
      </c>
      <c r="K16" s="134">
        <f t="shared" si="1"/>
        <v>99.7</v>
      </c>
      <c r="L16" s="32"/>
      <c r="T16" s="31" t="s">
        <v>62</v>
      </c>
      <c r="U16" s="31" t="s">
        <v>89</v>
      </c>
      <c r="V16" s="31" t="s">
        <v>13</v>
      </c>
      <c r="W16" s="31" t="s">
        <v>14</v>
      </c>
      <c r="X16" s="31" t="s">
        <v>15</v>
      </c>
      <c r="Y16" s="14"/>
      <c r="Z16" s="14"/>
    </row>
    <row r="17" spans="1:26" ht="14.25" customHeight="1">
      <c r="A17" s="201"/>
      <c r="B17" s="195"/>
      <c r="C17" s="195"/>
      <c r="D17" s="195"/>
      <c r="E17" s="195"/>
      <c r="F17" s="204"/>
      <c r="G17" s="102">
        <v>902384</v>
      </c>
      <c r="H17" s="102">
        <v>1100912</v>
      </c>
      <c r="I17" s="132">
        <f t="shared" si="0"/>
        <v>0.8196695103695845</v>
      </c>
      <c r="J17" s="133">
        <f>$B$24*I17/F16</f>
        <v>2.2002995829419163</v>
      </c>
      <c r="K17" s="134">
        <f t="shared" si="1"/>
        <v>100</v>
      </c>
      <c r="L17" s="32"/>
      <c r="T17" s="32">
        <v>1</v>
      </c>
      <c r="U17" s="32">
        <v>2</v>
      </c>
      <c r="V17" s="32">
        <v>199.9</v>
      </c>
      <c r="W17" s="32">
        <v>99.95</v>
      </c>
      <c r="X17" s="32">
        <v>0.004999999999999432</v>
      </c>
      <c r="Y17" s="14"/>
      <c r="Z17" s="14"/>
    </row>
    <row r="18" spans="1:26" ht="14.25" customHeight="1">
      <c r="A18" s="201"/>
      <c r="B18" s="194">
        <v>6</v>
      </c>
      <c r="C18" s="194" t="s">
        <v>49</v>
      </c>
      <c r="D18" s="194">
        <v>1017047</v>
      </c>
      <c r="E18" s="194">
        <v>1164887</v>
      </c>
      <c r="F18" s="202">
        <f>D18/E18</f>
        <v>0.8730864023720756</v>
      </c>
      <c r="G18" s="102">
        <v>969267</v>
      </c>
      <c r="H18" s="102">
        <v>1168655</v>
      </c>
      <c r="I18" s="132">
        <f t="shared" si="0"/>
        <v>0.829386773684278</v>
      </c>
      <c r="J18" s="133">
        <f>$B$25*I18/F18</f>
        <v>2.2039461006307692</v>
      </c>
      <c r="K18" s="134">
        <f t="shared" si="1"/>
        <v>100.2</v>
      </c>
      <c r="L18" s="32"/>
      <c r="T18" s="32">
        <v>2</v>
      </c>
      <c r="U18" s="32">
        <v>2</v>
      </c>
      <c r="V18" s="32">
        <v>200.60000000000002</v>
      </c>
      <c r="W18" s="32">
        <v>100.30000000000001</v>
      </c>
      <c r="X18" s="32">
        <v>0.02000000000000057</v>
      </c>
      <c r="Y18" s="14"/>
      <c r="Z18" s="14"/>
    </row>
    <row r="19" spans="1:26" ht="14.25" customHeight="1">
      <c r="A19" s="195"/>
      <c r="B19" s="195"/>
      <c r="C19" s="195"/>
      <c r="D19" s="195"/>
      <c r="E19" s="195"/>
      <c r="F19" s="204"/>
      <c r="G19" s="102">
        <v>966255</v>
      </c>
      <c r="H19" s="102">
        <v>1166057</v>
      </c>
      <c r="I19" s="132">
        <f t="shared" si="0"/>
        <v>0.8286516010795356</v>
      </c>
      <c r="J19" s="133">
        <f>$B$25*I19/F18</f>
        <v>2.201992511730002</v>
      </c>
      <c r="K19" s="134">
        <f t="shared" si="1"/>
        <v>100.1</v>
      </c>
      <c r="L19" s="32"/>
      <c r="T19" s="32">
        <v>3</v>
      </c>
      <c r="U19" s="32">
        <v>2</v>
      </c>
      <c r="V19" s="32">
        <v>199.8</v>
      </c>
      <c r="W19" s="32">
        <v>99.9</v>
      </c>
      <c r="X19" s="32">
        <v>0</v>
      </c>
      <c r="Y19" s="14"/>
      <c r="Z19" s="14"/>
    </row>
    <row r="20" spans="1:26" ht="14.25" customHeight="1">
      <c r="A20" s="238" t="s">
        <v>29</v>
      </c>
      <c r="B20" s="239"/>
      <c r="C20" s="239"/>
      <c r="D20" s="239"/>
      <c r="E20" s="239"/>
      <c r="F20" s="239"/>
      <c r="G20" s="239"/>
      <c r="H20" s="239"/>
      <c r="I20" s="239"/>
      <c r="J20" s="240"/>
      <c r="K20" s="137">
        <f>AVERAGE(K8:K19)</f>
        <v>99.98333333333333</v>
      </c>
      <c r="L20" s="138"/>
      <c r="T20" s="32">
        <v>4</v>
      </c>
      <c r="U20" s="32">
        <v>2</v>
      </c>
      <c r="V20" s="32">
        <v>199.5</v>
      </c>
      <c r="W20" s="32">
        <v>99.75</v>
      </c>
      <c r="X20" s="32">
        <v>0.04500000000000341</v>
      </c>
      <c r="Y20" s="14"/>
      <c r="Z20" s="14"/>
    </row>
    <row r="21" spans="1:26" ht="13.5">
      <c r="A21" s="14" t="s">
        <v>165</v>
      </c>
      <c r="B21" s="107"/>
      <c r="C21" s="107"/>
      <c r="D21" s="22"/>
      <c r="E21" s="139"/>
      <c r="F21" s="140"/>
      <c r="G21" s="22"/>
      <c r="H21" s="139"/>
      <c r="K21" s="22"/>
      <c r="L21" s="32"/>
      <c r="T21" s="32">
        <v>5</v>
      </c>
      <c r="U21" s="32">
        <v>2</v>
      </c>
      <c r="V21" s="32">
        <v>199.7</v>
      </c>
      <c r="W21" s="32">
        <v>99.85</v>
      </c>
      <c r="X21" s="32">
        <v>0.04499999999999915</v>
      </c>
      <c r="Y21" s="14"/>
      <c r="Z21" s="14"/>
    </row>
    <row r="22" spans="1:26" ht="15" thickBot="1">
      <c r="A22" s="14" t="s">
        <v>167</v>
      </c>
      <c r="D22" s="141"/>
      <c r="F22" s="142"/>
      <c r="G22" s="93"/>
      <c r="H22" s="143"/>
      <c r="K22" s="22"/>
      <c r="L22" s="32"/>
      <c r="T22" s="35">
        <v>6</v>
      </c>
      <c r="U22" s="35">
        <v>2</v>
      </c>
      <c r="V22" s="35">
        <v>200.3</v>
      </c>
      <c r="W22" s="35">
        <v>100.15</v>
      </c>
      <c r="X22" s="35">
        <v>0.005000000000000853</v>
      </c>
      <c r="Y22" s="14"/>
      <c r="Z22" s="14"/>
    </row>
    <row r="23" spans="1:26" ht="13.5">
      <c r="A23" s="144"/>
      <c r="D23" s="141"/>
      <c r="F23" s="142"/>
      <c r="G23" s="93"/>
      <c r="H23" s="143"/>
      <c r="K23" s="22"/>
      <c r="L23" s="32"/>
      <c r="W23" s="14"/>
      <c r="X23" s="14"/>
      <c r="Y23" s="14"/>
      <c r="Z23" s="14"/>
    </row>
    <row r="24" spans="1:26" ht="13.5">
      <c r="A24" s="92" t="s">
        <v>50</v>
      </c>
      <c r="B24" s="229">
        <v>2.3202</v>
      </c>
      <c r="C24" s="229"/>
      <c r="D24" s="229"/>
      <c r="E24" s="229"/>
      <c r="F24" s="142"/>
      <c r="G24" s="93"/>
      <c r="H24" s="143"/>
      <c r="K24" s="22"/>
      <c r="L24" s="32"/>
      <c r="W24" s="14"/>
      <c r="X24" s="14"/>
      <c r="Y24" s="14"/>
      <c r="Z24" s="14"/>
    </row>
    <row r="25" spans="1:26" ht="15" thickBot="1">
      <c r="A25" s="92" t="s">
        <v>51</v>
      </c>
      <c r="B25" s="229">
        <v>2.32007</v>
      </c>
      <c r="C25" s="229"/>
      <c r="D25" s="229"/>
      <c r="E25" s="229"/>
      <c r="F25" s="142"/>
      <c r="G25" s="93"/>
      <c r="H25" s="143"/>
      <c r="I25" s="139"/>
      <c r="J25" s="140"/>
      <c r="K25" s="22"/>
      <c r="L25" s="107"/>
      <c r="T25" s="14" t="s">
        <v>16</v>
      </c>
      <c r="W25" s="14"/>
      <c r="X25" s="14"/>
      <c r="Y25" s="14"/>
      <c r="Z25" s="14"/>
    </row>
    <row r="26" spans="1:26" ht="13.5">
      <c r="A26" s="145"/>
      <c r="B26" s="145"/>
      <c r="C26" s="145"/>
      <c r="D26" s="145"/>
      <c r="E26" s="145"/>
      <c r="F26" s="145"/>
      <c r="G26" s="145"/>
      <c r="H26" s="143"/>
      <c r="I26" s="140"/>
      <c r="K26" s="107"/>
      <c r="L26" s="107"/>
      <c r="T26" s="31" t="s">
        <v>17</v>
      </c>
      <c r="U26" s="31" t="s">
        <v>18</v>
      </c>
      <c r="V26" s="31" t="s">
        <v>19</v>
      </c>
      <c r="W26" s="31" t="s">
        <v>15</v>
      </c>
      <c r="X26" s="31" t="s">
        <v>20</v>
      </c>
      <c r="Y26" s="31" t="s">
        <v>21</v>
      </c>
      <c r="Z26" s="31" t="s">
        <v>22</v>
      </c>
    </row>
    <row r="27" spans="1:26" ht="27.75" customHeight="1">
      <c r="A27" s="230" t="s">
        <v>39</v>
      </c>
      <c r="B27" s="231"/>
      <c r="C27" s="146" t="s">
        <v>171</v>
      </c>
      <c r="D27" s="146" t="s">
        <v>170</v>
      </c>
      <c r="E27" s="146" t="s">
        <v>181</v>
      </c>
      <c r="F27" s="192" t="s">
        <v>182</v>
      </c>
      <c r="G27" s="198"/>
      <c r="H27" s="193"/>
      <c r="I27" s="140"/>
      <c r="K27" s="107"/>
      <c r="L27" s="107"/>
      <c r="T27" s="32" t="s">
        <v>63</v>
      </c>
      <c r="U27" s="34">
        <v>0.4166666666666682</v>
      </c>
      <c r="V27" s="126">
        <v>5</v>
      </c>
      <c r="W27" s="124">
        <v>0.08333333333333363</v>
      </c>
      <c r="X27" s="41">
        <v>4.166666666666563</v>
      </c>
      <c r="Y27" s="32">
        <v>0.05576414972722132</v>
      </c>
      <c r="Z27" s="41">
        <v>4.387374187406129</v>
      </c>
    </row>
    <row r="28" spans="1:26" ht="16.5">
      <c r="A28" s="232"/>
      <c r="B28" s="233"/>
      <c r="C28" s="104">
        <f>SQRT(E30)</f>
        <v>0.22730302828309856</v>
      </c>
      <c r="D28" s="147">
        <f>C28/K20*100</f>
        <v>0.22734091843617127</v>
      </c>
      <c r="E28" s="148">
        <f>G42</f>
        <v>7</v>
      </c>
      <c r="F28" s="165">
        <f>SQRT(G42*E30/G33)</f>
        <v>0.16032719447086655</v>
      </c>
      <c r="G28" s="103" t="s">
        <v>82</v>
      </c>
      <c r="H28" s="166">
        <f>SQRT(G42*E30/G34)</f>
        <v>0.4082482904638648</v>
      </c>
      <c r="I28" s="140"/>
      <c r="K28" s="107"/>
      <c r="L28" s="107"/>
      <c r="T28" s="32" t="s">
        <v>64</v>
      </c>
      <c r="U28" s="34">
        <v>0.12000000000000342</v>
      </c>
      <c r="V28" s="155">
        <v>6</v>
      </c>
      <c r="W28" s="125">
        <v>0.02000000000000057</v>
      </c>
      <c r="X28" s="32"/>
      <c r="Y28" s="32"/>
      <c r="Z28" s="32"/>
    </row>
    <row r="29" spans="1:26" ht="21.75" customHeight="1">
      <c r="A29" s="145"/>
      <c r="B29" s="145"/>
      <c r="C29" s="145"/>
      <c r="D29" s="145"/>
      <c r="E29" s="145"/>
      <c r="F29" s="145"/>
      <c r="G29" s="145"/>
      <c r="H29" s="145"/>
      <c r="I29" s="140"/>
      <c r="K29" s="107"/>
      <c r="L29" s="107"/>
      <c r="T29" s="32"/>
      <c r="U29" s="34"/>
      <c r="V29" s="32"/>
      <c r="W29" s="32"/>
      <c r="X29" s="32"/>
      <c r="Y29" s="32"/>
      <c r="Z29" s="32"/>
    </row>
    <row r="30" spans="1:26" ht="16.5" thickBot="1">
      <c r="A30" s="145"/>
      <c r="B30" s="145"/>
      <c r="C30" s="145"/>
      <c r="D30" s="153" t="s">
        <v>176</v>
      </c>
      <c r="E30" s="132">
        <f>(G30+(G38-1)*G31)/G38</f>
        <v>0.0516666666666671</v>
      </c>
      <c r="F30" s="153" t="s">
        <v>174</v>
      </c>
      <c r="G30" s="156">
        <f>W27</f>
        <v>0.08333333333333363</v>
      </c>
      <c r="H30" s="145"/>
      <c r="I30" s="140"/>
      <c r="K30" s="107"/>
      <c r="L30" s="107"/>
      <c r="T30" s="35" t="s">
        <v>13</v>
      </c>
      <c r="U30" s="37">
        <v>0.5366666666666716</v>
      </c>
      <c r="V30" s="35">
        <v>11</v>
      </c>
      <c r="W30" s="35"/>
      <c r="X30" s="35"/>
      <c r="Y30" s="35"/>
      <c r="Z30" s="35"/>
    </row>
    <row r="31" spans="1:23" ht="15.75">
      <c r="A31" s="145" t="s">
        <v>83</v>
      </c>
      <c r="B31" s="145"/>
      <c r="C31" s="145"/>
      <c r="D31" s="145"/>
      <c r="E31" s="145"/>
      <c r="F31" s="153" t="s">
        <v>175</v>
      </c>
      <c r="G31" s="157">
        <f>W28</f>
        <v>0.02000000000000057</v>
      </c>
      <c r="H31" s="145"/>
      <c r="I31" s="140"/>
      <c r="K31" s="107"/>
      <c r="L31" s="107"/>
      <c r="M31" s="107"/>
      <c r="N31" s="32"/>
      <c r="O31" s="32"/>
      <c r="P31" s="32"/>
      <c r="Q31" s="32"/>
      <c r="R31" s="32"/>
      <c r="S31" s="32"/>
      <c r="T31" s="32"/>
      <c r="U31" s="32"/>
      <c r="V31" s="32"/>
      <c r="W31" s="127"/>
    </row>
    <row r="32" spans="1:23" ht="13.5">
      <c r="A32" s="145" t="s">
        <v>40</v>
      </c>
      <c r="B32" s="145"/>
      <c r="C32" s="145"/>
      <c r="D32" s="145"/>
      <c r="E32" s="145"/>
      <c r="F32" s="145"/>
      <c r="G32" s="145"/>
      <c r="H32" s="145"/>
      <c r="I32" s="140"/>
      <c r="K32" s="107"/>
      <c r="L32" s="107"/>
      <c r="M32" s="107"/>
      <c r="N32" s="32"/>
      <c r="O32" s="32"/>
      <c r="P32" s="32"/>
      <c r="Q32" s="32"/>
      <c r="R32" s="32"/>
      <c r="S32" s="32"/>
      <c r="T32" s="32"/>
      <c r="U32" s="32"/>
      <c r="V32" s="32"/>
      <c r="W32" s="127"/>
    </row>
    <row r="33" spans="1:23" ht="13.5">
      <c r="A33" s="145" t="s">
        <v>84</v>
      </c>
      <c r="B33" s="145"/>
      <c r="C33" s="145"/>
      <c r="D33" s="145"/>
      <c r="E33" s="145"/>
      <c r="F33" s="153" t="s">
        <v>178</v>
      </c>
      <c r="G33" s="101">
        <f>ROUND(CHIINV(I33/2,I34),2)</f>
        <v>14.07</v>
      </c>
      <c r="H33" s="22" t="s">
        <v>32</v>
      </c>
      <c r="I33" s="161">
        <v>0.1</v>
      </c>
      <c r="K33" s="107"/>
      <c r="L33" s="107"/>
      <c r="M33" s="107"/>
      <c r="N33" s="32"/>
      <c r="O33" s="32"/>
      <c r="P33" s="32"/>
      <c r="Q33" s="32"/>
      <c r="R33" s="32"/>
      <c r="S33" s="32"/>
      <c r="T33" s="32"/>
      <c r="U33" s="32"/>
      <c r="V33" s="32"/>
      <c r="W33" s="127"/>
    </row>
    <row r="34" spans="1:23" ht="13.5">
      <c r="A34" s="145"/>
      <c r="B34" s="145"/>
      <c r="C34" s="145"/>
      <c r="D34" s="145"/>
      <c r="E34" s="145"/>
      <c r="F34" s="153" t="s">
        <v>179</v>
      </c>
      <c r="G34" s="101">
        <f>ROUND(CHIINV(1-(I33/2),I34),2)</f>
        <v>2.17</v>
      </c>
      <c r="H34" s="22" t="s">
        <v>180</v>
      </c>
      <c r="I34" s="162">
        <f>G42</f>
        <v>7</v>
      </c>
      <c r="K34" s="107"/>
      <c r="L34" s="107"/>
      <c r="M34" s="107"/>
      <c r="N34" s="32"/>
      <c r="O34" s="32"/>
      <c r="P34" s="32"/>
      <c r="Q34" s="32"/>
      <c r="R34" s="32"/>
      <c r="S34" s="32"/>
      <c r="T34" s="32"/>
      <c r="U34" s="32"/>
      <c r="V34" s="32"/>
      <c r="W34" s="127"/>
    </row>
    <row r="35" spans="1:23" ht="13.5">
      <c r="A35" s="145" t="s">
        <v>168</v>
      </c>
      <c r="B35" s="145"/>
      <c r="C35" s="145"/>
      <c r="D35" s="145"/>
      <c r="E35" s="145"/>
      <c r="F35" s="145"/>
      <c r="G35" s="145"/>
      <c r="H35" s="145"/>
      <c r="I35" s="140"/>
      <c r="K35" s="107"/>
      <c r="L35" s="107"/>
      <c r="M35" s="107"/>
      <c r="N35" s="32"/>
      <c r="O35" s="32"/>
      <c r="P35" s="32"/>
      <c r="Q35" s="32"/>
      <c r="R35" s="32"/>
      <c r="S35" s="32"/>
      <c r="T35" s="32"/>
      <c r="U35" s="32"/>
      <c r="V35" s="32"/>
      <c r="W35" s="127"/>
    </row>
    <row r="36" spans="1:23" ht="13.5">
      <c r="A36" s="145"/>
      <c r="B36" s="145"/>
      <c r="C36" s="145"/>
      <c r="D36" s="145"/>
      <c r="E36" s="145"/>
      <c r="F36" s="159"/>
      <c r="G36" s="160"/>
      <c r="I36" s="140"/>
      <c r="K36" s="107"/>
      <c r="L36" s="107"/>
      <c r="M36" s="107"/>
      <c r="N36" s="32"/>
      <c r="O36" s="32"/>
      <c r="P36" s="32"/>
      <c r="Q36" s="32"/>
      <c r="R36" s="32"/>
      <c r="S36" s="32"/>
      <c r="T36" s="32"/>
      <c r="U36" s="32"/>
      <c r="V36" s="32"/>
      <c r="W36" s="127"/>
    </row>
    <row r="37" spans="1:23" ht="21" customHeight="1">
      <c r="A37" s="145"/>
      <c r="B37" s="145"/>
      <c r="C37" s="145"/>
      <c r="D37" s="145"/>
      <c r="E37" s="145"/>
      <c r="F37" s="145"/>
      <c r="G37" s="145"/>
      <c r="H37" s="145"/>
      <c r="I37" s="140"/>
      <c r="K37" s="107"/>
      <c r="L37" s="107"/>
      <c r="M37" s="107"/>
      <c r="N37" s="32"/>
      <c r="O37" s="32"/>
      <c r="P37" s="32"/>
      <c r="Q37" s="32"/>
      <c r="R37" s="32"/>
      <c r="S37" s="32"/>
      <c r="T37" s="32"/>
      <c r="U37" s="32"/>
      <c r="V37" s="32"/>
      <c r="W37" s="127"/>
    </row>
    <row r="38" spans="1:23" ht="13.5">
      <c r="A38" s="145" t="s">
        <v>169</v>
      </c>
      <c r="B38" s="145"/>
      <c r="C38" s="145"/>
      <c r="D38" s="145"/>
      <c r="E38" s="145"/>
      <c r="F38" s="153" t="s">
        <v>25</v>
      </c>
      <c r="G38" s="154">
        <v>2</v>
      </c>
      <c r="H38" s="145"/>
      <c r="I38" s="140"/>
      <c r="K38" s="107"/>
      <c r="L38" s="107"/>
      <c r="M38" s="107"/>
      <c r="N38" s="32"/>
      <c r="O38" s="32"/>
      <c r="P38" s="32"/>
      <c r="Q38" s="32"/>
      <c r="R38" s="32"/>
      <c r="S38" s="32"/>
      <c r="T38" s="32"/>
      <c r="U38" s="32"/>
      <c r="V38" s="32"/>
      <c r="W38" s="127"/>
    </row>
    <row r="39" spans="1:23" ht="15.75">
      <c r="A39" s="145"/>
      <c r="B39" s="145"/>
      <c r="C39" s="145"/>
      <c r="D39" s="145"/>
      <c r="E39" s="145"/>
      <c r="F39" s="153" t="s">
        <v>172</v>
      </c>
      <c r="G39" s="168">
        <f>V27</f>
        <v>5</v>
      </c>
      <c r="H39" s="145"/>
      <c r="I39" s="140"/>
      <c r="K39" s="107"/>
      <c r="L39" s="107"/>
      <c r="M39" s="107"/>
      <c r="N39" s="32"/>
      <c r="O39" s="32"/>
      <c r="P39" s="32"/>
      <c r="Q39" s="32"/>
      <c r="R39" s="32"/>
      <c r="S39" s="32"/>
      <c r="T39" s="32"/>
      <c r="U39" s="32"/>
      <c r="V39" s="32"/>
      <c r="W39" s="127"/>
    </row>
    <row r="40" spans="1:23" ht="15.75">
      <c r="A40" s="145"/>
      <c r="B40" s="145"/>
      <c r="C40" s="145"/>
      <c r="D40" s="145"/>
      <c r="E40" s="145"/>
      <c r="F40" s="153" t="s">
        <v>173</v>
      </c>
      <c r="G40" s="158">
        <f>V28</f>
        <v>6</v>
      </c>
      <c r="H40" s="145"/>
      <c r="I40" s="140"/>
      <c r="K40" s="107"/>
      <c r="L40" s="107"/>
      <c r="M40" s="107"/>
      <c r="N40" s="32"/>
      <c r="O40" s="32"/>
      <c r="P40" s="32"/>
      <c r="Q40" s="32"/>
      <c r="R40" s="32"/>
      <c r="S40" s="32"/>
      <c r="T40" s="32"/>
      <c r="U40" s="32"/>
      <c r="V40" s="32"/>
      <c r="W40" s="127"/>
    </row>
    <row r="41" spans="1:23" ht="13.5">
      <c r="A41" s="145"/>
      <c r="B41" s="145"/>
      <c r="C41" s="145"/>
      <c r="D41" s="145"/>
      <c r="E41" s="145"/>
      <c r="F41" s="153" t="s">
        <v>177</v>
      </c>
      <c r="G41" s="163">
        <f>G38^2*E30^2/((G30^2/G39)+((G38-1)^2*(G31^2))/G40)</f>
        <v>7.335877862595474</v>
      </c>
      <c r="H41" s="145"/>
      <c r="I41" s="140"/>
      <c r="K41" s="107"/>
      <c r="L41" s="107"/>
      <c r="M41" s="107"/>
      <c r="N41" s="32"/>
      <c r="O41" s="32"/>
      <c r="P41" s="32"/>
      <c r="Q41" s="32"/>
      <c r="R41" s="32"/>
      <c r="S41" s="32"/>
      <c r="T41" s="32"/>
      <c r="U41" s="32"/>
      <c r="V41" s="32"/>
      <c r="W41" s="127"/>
    </row>
    <row r="42" spans="1:23" ht="13.5">
      <c r="A42" s="145"/>
      <c r="B42" s="145"/>
      <c r="C42" s="145"/>
      <c r="D42" s="145"/>
      <c r="E42" s="145"/>
      <c r="F42" s="153" t="s">
        <v>177</v>
      </c>
      <c r="G42" s="164">
        <f>ROUNDDOWN(G41,)</f>
        <v>7</v>
      </c>
      <c r="H42" s="145"/>
      <c r="I42" s="140"/>
      <c r="K42" s="107"/>
      <c r="L42" s="107"/>
      <c r="M42" s="107"/>
      <c r="N42" s="32"/>
      <c r="O42" s="32"/>
      <c r="P42" s="32"/>
      <c r="Q42" s="32"/>
      <c r="R42" s="32"/>
      <c r="S42" s="32"/>
      <c r="T42" s="32"/>
      <c r="U42" s="32"/>
      <c r="V42" s="32"/>
      <c r="W42" s="127"/>
    </row>
    <row r="43" spans="1:23" ht="13.5">
      <c r="A43" s="144"/>
      <c r="B43" s="118"/>
      <c r="C43" s="118"/>
      <c r="D43" s="118"/>
      <c r="E43" s="118"/>
      <c r="F43" s="142"/>
      <c r="G43" s="93"/>
      <c r="H43" s="145"/>
      <c r="I43" s="140"/>
      <c r="K43" s="107"/>
      <c r="L43" s="107"/>
      <c r="M43" s="107"/>
      <c r="N43" s="32"/>
      <c r="O43" s="32"/>
      <c r="P43" s="32"/>
      <c r="Q43" s="32"/>
      <c r="R43" s="32"/>
      <c r="S43" s="32"/>
      <c r="T43" s="32"/>
      <c r="U43" s="32"/>
      <c r="V43" s="32"/>
      <c r="W43" s="127"/>
    </row>
    <row r="44" spans="2:23" ht="21.75" customHeight="1">
      <c r="B44" s="118"/>
      <c r="C44" s="118"/>
      <c r="D44" s="118"/>
      <c r="E44" s="118"/>
      <c r="F44" s="142"/>
      <c r="G44" s="93"/>
      <c r="H44" s="145"/>
      <c r="I44" s="140"/>
      <c r="K44" s="107"/>
      <c r="L44" s="107"/>
      <c r="M44" s="107"/>
      <c r="N44" s="32"/>
      <c r="O44" s="32"/>
      <c r="P44" s="32"/>
      <c r="Q44" s="32"/>
      <c r="R44" s="32"/>
      <c r="S44" s="32"/>
      <c r="T44" s="32"/>
      <c r="U44" s="32"/>
      <c r="V44" s="32"/>
      <c r="W44" s="127"/>
    </row>
    <row r="45" spans="1:23" ht="13.5">
      <c r="A45" s="144"/>
      <c r="B45" s="118"/>
      <c r="C45" s="118"/>
      <c r="D45" s="118"/>
      <c r="E45" s="118"/>
      <c r="F45" s="142"/>
      <c r="G45" s="93"/>
      <c r="H45" s="145"/>
      <c r="I45" s="140"/>
      <c r="K45" s="107"/>
      <c r="L45" s="107"/>
      <c r="M45" s="107"/>
      <c r="N45" s="32"/>
      <c r="O45" s="32"/>
      <c r="P45" s="32"/>
      <c r="Q45" s="32"/>
      <c r="R45" s="32"/>
      <c r="S45" s="32"/>
      <c r="T45" s="32"/>
      <c r="U45" s="32"/>
      <c r="V45" s="32"/>
      <c r="W45" s="127"/>
    </row>
    <row r="46" spans="1:23" ht="13.5">
      <c r="A46" s="144"/>
      <c r="B46" s="118"/>
      <c r="C46" s="118"/>
      <c r="D46" s="118"/>
      <c r="E46" s="118"/>
      <c r="F46" s="142"/>
      <c r="G46" s="93"/>
      <c r="H46" s="145"/>
      <c r="I46" s="140"/>
      <c r="K46" s="107"/>
      <c r="L46" s="107"/>
      <c r="M46" s="107"/>
      <c r="N46" s="32"/>
      <c r="O46" s="32"/>
      <c r="P46" s="32"/>
      <c r="Q46" s="32"/>
      <c r="R46" s="32"/>
      <c r="S46" s="32"/>
      <c r="T46" s="32"/>
      <c r="U46" s="32"/>
      <c r="V46" s="32"/>
      <c r="W46" s="127"/>
    </row>
    <row r="47" spans="1:23" ht="13.5">
      <c r="A47" s="144"/>
      <c r="B47" s="118"/>
      <c r="C47" s="118"/>
      <c r="D47" s="118"/>
      <c r="E47" s="118"/>
      <c r="F47" s="142"/>
      <c r="G47" s="93"/>
      <c r="H47" s="145"/>
      <c r="I47" s="140"/>
      <c r="K47" s="107"/>
      <c r="L47" s="107"/>
      <c r="M47" s="107"/>
      <c r="N47" s="32"/>
      <c r="O47" s="32"/>
      <c r="P47" s="32"/>
      <c r="Q47" s="32"/>
      <c r="R47" s="32"/>
      <c r="S47" s="32"/>
      <c r="T47" s="32"/>
      <c r="U47" s="32"/>
      <c r="V47" s="32"/>
      <c r="W47" s="127"/>
    </row>
    <row r="48" spans="1:23" ht="13.5">
      <c r="A48" s="144"/>
      <c r="B48" s="118"/>
      <c r="C48" s="118"/>
      <c r="D48" s="118"/>
      <c r="E48" s="118"/>
      <c r="F48" s="142"/>
      <c r="G48" s="93"/>
      <c r="H48" s="145"/>
      <c r="I48" s="140"/>
      <c r="K48" s="107"/>
      <c r="L48" s="107"/>
      <c r="M48" s="107"/>
      <c r="N48" s="32"/>
      <c r="O48" s="32"/>
      <c r="P48" s="32"/>
      <c r="Q48" s="32"/>
      <c r="R48" s="32"/>
      <c r="S48" s="32"/>
      <c r="T48" s="32"/>
      <c r="U48" s="32"/>
      <c r="V48" s="32"/>
      <c r="W48" s="127"/>
    </row>
    <row r="49" spans="1:23" ht="13.5">
      <c r="A49" s="144"/>
      <c r="B49" s="118"/>
      <c r="C49" s="118"/>
      <c r="D49" s="118"/>
      <c r="E49" s="118"/>
      <c r="F49" s="142"/>
      <c r="G49" s="93"/>
      <c r="H49" s="145"/>
      <c r="I49" s="140"/>
      <c r="K49" s="107"/>
      <c r="L49" s="107"/>
      <c r="M49" s="107"/>
      <c r="N49" s="32"/>
      <c r="O49" s="32"/>
      <c r="P49" s="32"/>
      <c r="Q49" s="32"/>
      <c r="R49" s="32"/>
      <c r="S49" s="32"/>
      <c r="T49" s="32"/>
      <c r="U49" s="32"/>
      <c r="V49" s="32"/>
      <c r="W49" s="127"/>
    </row>
    <row r="50" spans="1:23" ht="13.5">
      <c r="A50" s="144"/>
      <c r="B50" s="118"/>
      <c r="C50" s="118"/>
      <c r="D50" s="118"/>
      <c r="E50" s="118"/>
      <c r="F50" s="142"/>
      <c r="G50" s="93"/>
      <c r="H50" s="145"/>
      <c r="I50" s="140"/>
      <c r="K50" s="107"/>
      <c r="L50" s="107"/>
      <c r="M50" s="107"/>
      <c r="N50" s="32"/>
      <c r="O50" s="32"/>
      <c r="P50" s="32"/>
      <c r="Q50" s="32"/>
      <c r="R50" s="32"/>
      <c r="S50" s="32"/>
      <c r="T50" s="32"/>
      <c r="U50" s="32"/>
      <c r="V50" s="32"/>
      <c r="W50" s="127"/>
    </row>
    <row r="51" spans="1:23" ht="13.5">
      <c r="A51" s="144"/>
      <c r="B51" s="118"/>
      <c r="C51" s="118"/>
      <c r="D51" s="118"/>
      <c r="E51" s="118"/>
      <c r="F51" s="142"/>
      <c r="G51" s="93"/>
      <c r="H51" s="145"/>
      <c r="I51" s="140"/>
      <c r="K51" s="107"/>
      <c r="L51" s="107"/>
      <c r="M51" s="107"/>
      <c r="N51" s="32"/>
      <c r="O51" s="32"/>
      <c r="P51" s="32"/>
      <c r="Q51" s="32"/>
      <c r="R51" s="32"/>
      <c r="S51" s="32"/>
      <c r="T51" s="32"/>
      <c r="U51" s="32"/>
      <c r="V51" s="32"/>
      <c r="W51" s="127"/>
    </row>
    <row r="52" spans="1:23" ht="13.5">
      <c r="A52" s="144"/>
      <c r="B52" s="118"/>
      <c r="C52" s="118"/>
      <c r="D52" s="118"/>
      <c r="E52" s="118"/>
      <c r="F52" s="142"/>
      <c r="G52" s="93"/>
      <c r="H52" s="145"/>
      <c r="I52" s="140"/>
      <c r="K52" s="107"/>
      <c r="L52" s="107"/>
      <c r="M52" s="107"/>
      <c r="N52" s="32"/>
      <c r="O52" s="32"/>
      <c r="P52" s="32"/>
      <c r="Q52" s="32"/>
      <c r="R52" s="32"/>
      <c r="S52" s="32"/>
      <c r="T52" s="32"/>
      <c r="U52" s="32"/>
      <c r="V52" s="32"/>
      <c r="W52" s="127"/>
    </row>
    <row r="53" spans="1:16" ht="18" customHeight="1">
      <c r="A53" s="144"/>
      <c r="B53" s="118"/>
      <c r="C53" s="118"/>
      <c r="D53" s="118"/>
      <c r="E53" s="118"/>
      <c r="F53" s="142"/>
      <c r="G53" s="93"/>
      <c r="H53" s="145"/>
      <c r="I53" s="140"/>
      <c r="K53" s="107"/>
      <c r="L53" s="107"/>
      <c r="M53" s="107"/>
      <c r="N53" s="22"/>
      <c r="O53" s="22"/>
      <c r="P53" s="22"/>
    </row>
    <row r="54" spans="1:16" ht="13.5">
      <c r="A54" s="144"/>
      <c r="B54" s="118"/>
      <c r="C54" s="118"/>
      <c r="D54" s="118"/>
      <c r="E54" s="118"/>
      <c r="F54" s="142"/>
      <c r="G54" s="93"/>
      <c r="H54" s="145"/>
      <c r="I54" s="140"/>
      <c r="K54" s="107"/>
      <c r="L54" s="107"/>
      <c r="M54" s="107"/>
      <c r="N54" s="22"/>
      <c r="O54" s="22"/>
      <c r="P54" s="22"/>
    </row>
    <row r="55" spans="1:16" ht="13.5">
      <c r="A55" s="144"/>
      <c r="B55" s="118"/>
      <c r="C55" s="118"/>
      <c r="D55" s="118"/>
      <c r="E55" s="118"/>
      <c r="F55" s="142"/>
      <c r="G55" s="93"/>
      <c r="H55" s="143"/>
      <c r="I55" s="140"/>
      <c r="K55" s="107"/>
      <c r="L55" s="107"/>
      <c r="M55" s="107"/>
      <c r="N55" s="22"/>
      <c r="O55" s="22"/>
      <c r="P55" s="22"/>
    </row>
    <row r="56" spans="1:16" ht="13.5">
      <c r="A56" s="144"/>
      <c r="B56" s="118"/>
      <c r="C56" s="118"/>
      <c r="D56" s="118"/>
      <c r="E56" s="118"/>
      <c r="F56" s="142"/>
      <c r="G56" s="93"/>
      <c r="H56" s="143"/>
      <c r="I56" s="140"/>
      <c r="K56" s="107"/>
      <c r="L56" s="107"/>
      <c r="M56" s="107"/>
      <c r="N56" s="22"/>
      <c r="O56" s="22"/>
      <c r="P56" s="22"/>
    </row>
    <row r="57" spans="1:16" ht="13.5">
      <c r="A57" s="144"/>
      <c r="B57" s="118"/>
      <c r="C57" s="118"/>
      <c r="D57" s="118"/>
      <c r="E57" s="118"/>
      <c r="F57" s="142"/>
      <c r="G57" s="93"/>
      <c r="H57" s="143"/>
      <c r="I57" s="140"/>
      <c r="K57" s="107"/>
      <c r="L57" s="107"/>
      <c r="M57" s="107"/>
      <c r="N57" s="22"/>
      <c r="O57" s="22"/>
      <c r="P57" s="22"/>
    </row>
    <row r="58" spans="1:16" ht="13.5">
      <c r="A58" s="144"/>
      <c r="B58" s="118"/>
      <c r="C58" s="118"/>
      <c r="D58" s="118"/>
      <c r="E58" s="118"/>
      <c r="F58" s="142"/>
      <c r="G58" s="93"/>
      <c r="H58" s="143"/>
      <c r="I58" s="140"/>
      <c r="K58" s="107"/>
      <c r="L58" s="107"/>
      <c r="M58" s="107"/>
      <c r="N58" s="22"/>
      <c r="O58" s="22"/>
      <c r="P58" s="22"/>
    </row>
    <row r="59" spans="1:16" ht="13.5">
      <c r="A59" s="144"/>
      <c r="B59" s="118"/>
      <c r="C59" s="118"/>
      <c r="D59" s="118"/>
      <c r="E59" s="118"/>
      <c r="F59" s="142"/>
      <c r="G59" s="93"/>
      <c r="H59" s="143"/>
      <c r="I59" s="140"/>
      <c r="K59" s="107"/>
      <c r="L59" s="107"/>
      <c r="M59" s="107"/>
      <c r="N59" s="22"/>
      <c r="O59" s="22"/>
      <c r="P59" s="22"/>
    </row>
    <row r="60" spans="1:16" ht="13.5">
      <c r="A60" s="144"/>
      <c r="B60" s="118"/>
      <c r="C60" s="118"/>
      <c r="D60" s="118"/>
      <c r="E60" s="118"/>
      <c r="F60" s="142"/>
      <c r="G60" s="93"/>
      <c r="H60" s="143"/>
      <c r="I60" s="140"/>
      <c r="K60" s="107"/>
      <c r="L60" s="107"/>
      <c r="M60" s="107"/>
      <c r="N60" s="22"/>
      <c r="O60" s="22"/>
      <c r="P60" s="22"/>
    </row>
    <row r="61" spans="1:16" ht="13.5">
      <c r="A61" s="144"/>
      <c r="B61" s="118"/>
      <c r="C61" s="118"/>
      <c r="D61" s="118"/>
      <c r="E61" s="118"/>
      <c r="F61" s="142"/>
      <c r="G61" s="93"/>
      <c r="H61" s="143"/>
      <c r="I61" s="140"/>
      <c r="K61" s="107"/>
      <c r="L61" s="107"/>
      <c r="M61" s="107"/>
      <c r="N61" s="22"/>
      <c r="O61" s="22"/>
      <c r="P61" s="22"/>
    </row>
    <row r="62" spans="1:16" ht="13.5">
      <c r="A62" s="144"/>
      <c r="B62" s="118"/>
      <c r="C62" s="118"/>
      <c r="D62" s="118"/>
      <c r="E62" s="118"/>
      <c r="F62" s="142"/>
      <c r="G62" s="93"/>
      <c r="H62" s="143"/>
      <c r="I62" s="140"/>
      <c r="K62" s="107"/>
      <c r="L62" s="107"/>
      <c r="M62" s="107"/>
      <c r="N62" s="22"/>
      <c r="O62" s="22"/>
      <c r="P62" s="22"/>
    </row>
    <row r="63" spans="1:16" ht="13.5">
      <c r="A63" s="144"/>
      <c r="B63" s="220"/>
      <c r="C63" s="220"/>
      <c r="D63" s="220"/>
      <c r="E63" s="220"/>
      <c r="F63" s="142"/>
      <c r="G63" s="93"/>
      <c r="H63" s="143"/>
      <c r="I63" s="140"/>
      <c r="K63" s="107"/>
      <c r="L63" s="107"/>
      <c r="M63" s="107"/>
      <c r="N63" s="22"/>
      <c r="O63" s="22"/>
      <c r="P63" s="22"/>
    </row>
    <row r="64" spans="1:16" ht="13.5">
      <c r="A64" s="144"/>
      <c r="B64" s="118"/>
      <c r="C64" s="118"/>
      <c r="D64" s="118"/>
      <c r="E64" s="118"/>
      <c r="F64" s="142"/>
      <c r="G64" s="93"/>
      <c r="H64" s="143"/>
      <c r="I64" s="140"/>
      <c r="K64" s="107"/>
      <c r="L64" s="107"/>
      <c r="M64" s="107"/>
      <c r="N64" s="22"/>
      <c r="O64" s="22"/>
      <c r="P64" s="22"/>
    </row>
    <row r="65" spans="1:16" ht="342">
      <c r="A65" s="149" t="s">
        <v>3</v>
      </c>
      <c r="B65" s="149"/>
      <c r="C65" s="149"/>
      <c r="D65" s="149"/>
      <c r="E65" s="149"/>
      <c r="F65" s="149"/>
      <c r="G65" s="149"/>
      <c r="H65" s="143"/>
      <c r="I65" s="140"/>
      <c r="K65" s="107"/>
      <c r="L65" s="107"/>
      <c r="M65" s="107"/>
      <c r="N65" s="22"/>
      <c r="O65" s="22"/>
      <c r="P65" s="22"/>
    </row>
    <row r="66" spans="1:16" ht="13.5">
      <c r="A66" s="149"/>
      <c r="B66" s="149"/>
      <c r="C66" s="149"/>
      <c r="D66" s="149"/>
      <c r="E66" s="149"/>
      <c r="F66" s="149"/>
      <c r="G66" s="149"/>
      <c r="H66" s="143"/>
      <c r="I66" s="140"/>
      <c r="K66" s="107"/>
      <c r="L66" s="107"/>
      <c r="M66" s="107"/>
      <c r="N66" s="22"/>
      <c r="O66" s="22"/>
      <c r="P66" s="22"/>
    </row>
    <row r="67" spans="8:16" ht="13.5">
      <c r="H67" s="143"/>
      <c r="I67" s="140"/>
      <c r="K67" s="107"/>
      <c r="L67" s="107"/>
      <c r="M67" s="107"/>
      <c r="N67" s="22"/>
      <c r="O67" s="22"/>
      <c r="P67" s="22"/>
    </row>
    <row r="68" spans="8:16" ht="13.5">
      <c r="H68" s="143"/>
      <c r="I68" s="140"/>
      <c r="K68" s="107"/>
      <c r="L68" s="107"/>
      <c r="M68" s="107"/>
      <c r="N68" s="22"/>
      <c r="O68" s="22"/>
      <c r="P68" s="22"/>
    </row>
    <row r="69" spans="8:16" ht="13.5">
      <c r="H69" s="143"/>
      <c r="I69" s="140"/>
      <c r="K69" s="107"/>
      <c r="L69" s="107"/>
      <c r="M69" s="107"/>
      <c r="N69" s="22"/>
      <c r="O69" s="22"/>
      <c r="P69" s="22"/>
    </row>
    <row r="70" spans="8:16" ht="13.5">
      <c r="H70" s="143"/>
      <c r="I70" s="140"/>
      <c r="K70" s="107"/>
      <c r="L70" s="107"/>
      <c r="M70" s="107"/>
      <c r="N70" s="22"/>
      <c r="O70" s="22"/>
      <c r="P70" s="22"/>
    </row>
    <row r="71" spans="8:16" ht="13.5">
      <c r="H71" s="143"/>
      <c r="I71" s="140"/>
      <c r="K71" s="107"/>
      <c r="L71" s="107"/>
      <c r="M71" s="107"/>
      <c r="N71" s="22"/>
      <c r="O71" s="22"/>
      <c r="P71" s="22"/>
    </row>
    <row r="72" spans="8:16" ht="13.5">
      <c r="H72" s="143"/>
      <c r="I72" s="140"/>
      <c r="K72" s="107"/>
      <c r="L72" s="107"/>
      <c r="M72" s="107"/>
      <c r="N72" s="22"/>
      <c r="O72" s="22"/>
      <c r="P72" s="22"/>
    </row>
    <row r="73" spans="8:16" ht="13.5">
      <c r="H73" s="143"/>
      <c r="I73" s="140"/>
      <c r="K73" s="107"/>
      <c r="L73" s="107"/>
      <c r="M73" s="107"/>
      <c r="N73" s="22"/>
      <c r="O73" s="22"/>
      <c r="P73" s="22"/>
    </row>
    <row r="74" spans="8:16" ht="13.5">
      <c r="H74" s="143"/>
      <c r="I74" s="140"/>
      <c r="K74" s="107"/>
      <c r="L74" s="107"/>
      <c r="M74" s="107"/>
      <c r="N74" s="22"/>
      <c r="O74" s="22"/>
      <c r="P74" s="22"/>
    </row>
    <row r="75" spans="8:16" ht="13.5">
      <c r="H75" s="143"/>
      <c r="I75" s="140"/>
      <c r="K75" s="107"/>
      <c r="L75" s="107"/>
      <c r="M75" s="107"/>
      <c r="N75" s="22"/>
      <c r="O75" s="22"/>
      <c r="P75" s="22"/>
    </row>
    <row r="76" spans="8:16" ht="30" customHeight="1">
      <c r="H76" s="143"/>
      <c r="I76" s="140"/>
      <c r="K76" s="107"/>
      <c r="L76" s="107"/>
      <c r="M76" s="107"/>
      <c r="N76" s="22"/>
      <c r="O76" s="22"/>
      <c r="P76" s="22"/>
    </row>
    <row r="77" spans="8:15" ht="14.25">
      <c r="H77" s="149"/>
      <c r="I77" s="140"/>
      <c r="K77" s="150"/>
      <c r="O77" s="150"/>
    </row>
    <row r="78" spans="8:9" ht="14.25">
      <c r="H78" s="149"/>
      <c r="I78" s="140"/>
    </row>
    <row r="79" spans="2:9" ht="13.5" customHeight="1">
      <c r="B79" s="14" t="s">
        <v>24</v>
      </c>
      <c r="I79" s="151"/>
    </row>
    <row r="80" spans="2:9" ht="14.25">
      <c r="B80" s="152">
        <f>K8</f>
        <v>99.9</v>
      </c>
      <c r="C80" s="152">
        <f>K9</f>
        <v>100</v>
      </c>
      <c r="I80" s="151"/>
    </row>
    <row r="81" spans="2:10" ht="14.25">
      <c r="B81" s="152">
        <f>K10</f>
        <v>100.2</v>
      </c>
      <c r="C81" s="152">
        <f>K11</f>
        <v>100.4</v>
      </c>
      <c r="I81" s="151"/>
      <c r="J81" s="151"/>
    </row>
    <row r="82" spans="2:10" ht="14.25">
      <c r="B82" s="152">
        <f>K12</f>
        <v>99.9</v>
      </c>
      <c r="C82" s="152">
        <f>K13</f>
        <v>99.9</v>
      </c>
      <c r="I82" s="151"/>
      <c r="J82" s="151"/>
    </row>
    <row r="83" spans="2:9" ht="14.25">
      <c r="B83" s="152">
        <f>K14</f>
        <v>99.9</v>
      </c>
      <c r="C83" s="152">
        <f>K15</f>
        <v>99.6</v>
      </c>
      <c r="I83" s="151"/>
    </row>
    <row r="84" spans="2:15" ht="14.25">
      <c r="B84" s="152">
        <f>K16</f>
        <v>99.7</v>
      </c>
      <c r="C84" s="152">
        <f>K17</f>
        <v>100</v>
      </c>
      <c r="I84" s="151"/>
      <c r="K84" s="128"/>
      <c r="O84" s="128"/>
    </row>
    <row r="85" spans="2:15" ht="14.25">
      <c r="B85" s="152">
        <f>K18</f>
        <v>100.2</v>
      </c>
      <c r="C85" s="152">
        <f>K19</f>
        <v>100.1</v>
      </c>
      <c r="I85" s="151"/>
      <c r="K85" s="128"/>
      <c r="O85" s="128"/>
    </row>
    <row r="86" spans="9:11" ht="14.25">
      <c r="I86" s="151"/>
      <c r="K86" s="128"/>
    </row>
    <row r="87" ht="14.25"/>
    <row r="88" ht="14.25"/>
    <row r="89" ht="14.25"/>
    <row r="90" ht="14.25"/>
    <row r="91" ht="14.25"/>
    <row r="92" ht="14.25"/>
    <row r="93" ht="14.25"/>
    <row r="94" ht="14.25"/>
    <row r="95" spans="11:17" ht="13.5">
      <c r="K95" s="228"/>
      <c r="L95" s="228"/>
      <c r="M95" s="228"/>
      <c r="N95" s="228"/>
      <c r="O95" s="228"/>
      <c r="P95" s="228"/>
      <c r="Q95" s="228"/>
    </row>
    <row r="96" spans="11:17" ht="13.5">
      <c r="K96" s="228"/>
      <c r="L96" s="228"/>
      <c r="M96" s="228"/>
      <c r="N96" s="228"/>
      <c r="O96" s="228"/>
      <c r="P96" s="228"/>
      <c r="Q96" s="228"/>
    </row>
    <row r="97" spans="11:17" ht="13.5">
      <c r="K97" s="228" t="s">
        <v>3</v>
      </c>
      <c r="L97" s="228"/>
      <c r="M97" s="228"/>
      <c r="N97" s="228"/>
      <c r="O97" s="228"/>
      <c r="P97" s="228"/>
      <c r="Q97" s="228"/>
    </row>
    <row r="98" ht="33" customHeight="1"/>
  </sheetData>
  <sheetProtection/>
  <mergeCells count="48">
    <mergeCell ref="F12:F13"/>
    <mergeCell ref="F14:F15"/>
    <mergeCell ref="D16:D17"/>
    <mergeCell ref="E14:E15"/>
    <mergeCell ref="K6:K7"/>
    <mergeCell ref="A6:B7"/>
    <mergeCell ref="C6:C7"/>
    <mergeCell ref="D14:D15"/>
    <mergeCell ref="D12:D13"/>
    <mergeCell ref="E8:E9"/>
    <mergeCell ref="C8:C9"/>
    <mergeCell ref="C10:C11"/>
    <mergeCell ref="F8:F9"/>
    <mergeCell ref="F10:F11"/>
    <mergeCell ref="E10:E11"/>
    <mergeCell ref="B10:B11"/>
    <mergeCell ref="B12:B13"/>
    <mergeCell ref="D8:D9"/>
    <mergeCell ref="D10:D11"/>
    <mergeCell ref="E12:E13"/>
    <mergeCell ref="C14:C15"/>
    <mergeCell ref="A20:J20"/>
    <mergeCell ref="B24:E24"/>
    <mergeCell ref="E16:E17"/>
    <mergeCell ref="K96:Q96"/>
    <mergeCell ref="B63:E63"/>
    <mergeCell ref="D18:D19"/>
    <mergeCell ref="F16:F17"/>
    <mergeCell ref="F18:F19"/>
    <mergeCell ref="B16:B17"/>
    <mergeCell ref="A1:K1"/>
    <mergeCell ref="A2:K2"/>
    <mergeCell ref="D6:F6"/>
    <mergeCell ref="G6:I6"/>
    <mergeCell ref="J6:J7"/>
    <mergeCell ref="C12:C13"/>
    <mergeCell ref="A8:A19"/>
    <mergeCell ref="B8:B9"/>
    <mergeCell ref="B14:B15"/>
    <mergeCell ref="C16:C17"/>
    <mergeCell ref="K97:Q97"/>
    <mergeCell ref="K95:Q95"/>
    <mergeCell ref="B25:E25"/>
    <mergeCell ref="B18:B19"/>
    <mergeCell ref="C18:C19"/>
    <mergeCell ref="A27:B28"/>
    <mergeCell ref="F27:H27"/>
    <mergeCell ref="E18:E19"/>
  </mergeCells>
  <printOptions/>
  <pageMargins left="0.57" right="0.42" top="1" bottom="0.76" header="0.512" footer="0.512"/>
  <pageSetup horizontalDpi="300" verticalDpi="300" orientation="portrait" paperSize="9" scale="85"/>
  <drawing r:id="rId3"/>
  <legacyDrawing r:id="rId2"/>
  <oleObjects>
    <oleObject progId="Equation.3" shapeId="169338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="120" zoomScaleNormal="120" zoomScalePageLayoutView="0" workbookViewId="0" topLeftCell="A1">
      <selection activeCell="F9" sqref="E9:F17"/>
    </sheetView>
  </sheetViews>
  <sheetFormatPr defaultColWidth="11" defaultRowHeight="14.25"/>
  <cols>
    <col min="1" max="1" width="13.796875" style="4" customWidth="1"/>
    <col min="2" max="2" width="23.296875" style="4" customWidth="1"/>
    <col min="3" max="3" width="22.796875" style="4" customWidth="1"/>
    <col min="4" max="4" width="35.69921875" style="4" customWidth="1"/>
    <col min="5" max="5" width="25.19921875" style="0" customWidth="1"/>
  </cols>
  <sheetData>
    <row r="1" spans="1:6" ht="43.5" customHeight="1">
      <c r="A1" s="121" t="s">
        <v>95</v>
      </c>
      <c r="B1" s="121" t="s">
        <v>96</v>
      </c>
      <c r="C1" s="121" t="s">
        <v>97</v>
      </c>
      <c r="D1" s="121" t="s">
        <v>98</v>
      </c>
      <c r="E1" s="247" t="s">
        <v>104</v>
      </c>
      <c r="F1" s="121" t="s">
        <v>105</v>
      </c>
    </row>
    <row r="2" spans="1:6" ht="31.5" customHeight="1">
      <c r="A2" s="170" t="s">
        <v>106</v>
      </c>
      <c r="B2" s="169" t="s">
        <v>103</v>
      </c>
      <c r="C2" s="120" t="s">
        <v>101</v>
      </c>
      <c r="D2" s="120" t="s">
        <v>99</v>
      </c>
      <c r="E2" s="247" t="s">
        <v>185</v>
      </c>
      <c r="F2" s="247" t="s">
        <v>186</v>
      </c>
    </row>
    <row r="3" spans="1:6" ht="31.5">
      <c r="A3" s="170"/>
      <c r="B3" s="169"/>
      <c r="C3" s="120" t="s">
        <v>102</v>
      </c>
      <c r="D3" s="248" t="s">
        <v>100</v>
      </c>
      <c r="E3" s="247" t="s">
        <v>187</v>
      </c>
      <c r="F3" s="247" t="s">
        <v>186</v>
      </c>
    </row>
    <row r="4" spans="1:6" ht="27.75" customHeight="1">
      <c r="A4" s="249" t="s">
        <v>107</v>
      </c>
      <c r="B4" s="250" t="s">
        <v>108</v>
      </c>
      <c r="C4" s="251" t="s">
        <v>109</v>
      </c>
      <c r="D4" s="251" t="s">
        <v>110</v>
      </c>
      <c r="E4" s="252" t="s">
        <v>188</v>
      </c>
      <c r="F4" s="247" t="s">
        <v>186</v>
      </c>
    </row>
    <row r="5" spans="1:6" ht="30">
      <c r="A5" s="249"/>
      <c r="B5" s="250"/>
      <c r="C5" s="251" t="s">
        <v>112</v>
      </c>
      <c r="D5" s="251" t="s">
        <v>111</v>
      </c>
      <c r="E5" s="252" t="s">
        <v>189</v>
      </c>
      <c r="F5" s="247" t="s">
        <v>186</v>
      </c>
    </row>
    <row r="6" spans="1:6" ht="15.75">
      <c r="A6" s="253" t="s">
        <v>118</v>
      </c>
      <c r="B6" s="254" t="s">
        <v>115</v>
      </c>
      <c r="C6" s="254" t="s">
        <v>116</v>
      </c>
      <c r="D6" s="254" t="s">
        <v>117</v>
      </c>
      <c r="E6" s="255" t="s">
        <v>190</v>
      </c>
      <c r="F6" s="247" t="s">
        <v>186</v>
      </c>
    </row>
    <row r="7" spans="1:6" ht="15.75">
      <c r="A7" s="256"/>
      <c r="B7" s="254" t="s">
        <v>146</v>
      </c>
      <c r="C7" s="254" t="s">
        <v>116</v>
      </c>
      <c r="D7" s="254" t="s">
        <v>117</v>
      </c>
      <c r="E7" s="255" t="s">
        <v>191</v>
      </c>
      <c r="F7" s="247" t="s">
        <v>186</v>
      </c>
    </row>
    <row r="8" spans="1:6" ht="96">
      <c r="A8" s="257" t="s">
        <v>113</v>
      </c>
      <c r="B8" s="254" t="s">
        <v>119</v>
      </c>
      <c r="C8" s="248" t="s">
        <v>120</v>
      </c>
      <c r="D8" s="258" t="s">
        <v>117</v>
      </c>
      <c r="E8" s="259" t="s">
        <v>192</v>
      </c>
      <c r="F8" s="247" t="s">
        <v>186</v>
      </c>
    </row>
    <row r="9" spans="1:6" ht="127.5">
      <c r="A9" s="257" t="s">
        <v>114</v>
      </c>
      <c r="B9" s="254" t="s">
        <v>121</v>
      </c>
      <c r="C9" s="251" t="s">
        <v>122</v>
      </c>
      <c r="D9" s="254" t="s">
        <v>123</v>
      </c>
      <c r="E9" s="260"/>
      <c r="F9" s="247"/>
    </row>
    <row r="10" spans="1:6" ht="48">
      <c r="A10" s="261" t="s">
        <v>124</v>
      </c>
      <c r="B10" s="251" t="s">
        <v>126</v>
      </c>
      <c r="C10" s="251" t="s">
        <v>127</v>
      </c>
      <c r="D10" s="251" t="s">
        <v>128</v>
      </c>
      <c r="E10" s="255"/>
      <c r="F10" s="247"/>
    </row>
    <row r="11" spans="1:6" ht="15">
      <c r="A11" s="262" t="s">
        <v>125</v>
      </c>
      <c r="B11" s="251" t="s">
        <v>129</v>
      </c>
      <c r="C11" s="251" t="s">
        <v>116</v>
      </c>
      <c r="D11" s="251" t="s">
        <v>130</v>
      </c>
      <c r="E11" s="255"/>
      <c r="F11" s="247"/>
    </row>
    <row r="12" spans="1:6" ht="31.5" customHeight="1">
      <c r="A12" s="253" t="s">
        <v>131</v>
      </c>
      <c r="B12" s="263" t="s">
        <v>132</v>
      </c>
      <c r="C12" s="251" t="s">
        <v>133</v>
      </c>
      <c r="D12" s="254" t="s">
        <v>147</v>
      </c>
      <c r="E12" s="255"/>
      <c r="F12" s="247"/>
    </row>
    <row r="13" spans="1:6" ht="15">
      <c r="A13" s="264"/>
      <c r="B13" s="265"/>
      <c r="C13" s="251" t="s">
        <v>134</v>
      </c>
      <c r="D13" s="251" t="s">
        <v>110</v>
      </c>
      <c r="E13" s="260"/>
      <c r="F13" s="247"/>
    </row>
    <row r="14" spans="1:6" ht="15">
      <c r="A14" s="256"/>
      <c r="B14" s="266"/>
      <c r="C14" s="251" t="s">
        <v>135</v>
      </c>
      <c r="D14" s="251" t="s">
        <v>117</v>
      </c>
      <c r="E14" s="255"/>
      <c r="F14" s="247"/>
    </row>
    <row r="15" spans="1:6" ht="31.5">
      <c r="A15" s="267" t="s">
        <v>136</v>
      </c>
      <c r="B15" s="261" t="s">
        <v>137</v>
      </c>
      <c r="C15" s="261" t="s">
        <v>140</v>
      </c>
      <c r="D15" s="268" t="s">
        <v>141</v>
      </c>
      <c r="E15" s="269"/>
      <c r="F15" s="76"/>
    </row>
    <row r="16" spans="1:6" ht="31.5">
      <c r="A16" s="270"/>
      <c r="B16" s="271" t="s">
        <v>138</v>
      </c>
      <c r="C16" s="262" t="s">
        <v>142</v>
      </c>
      <c r="D16" s="262" t="s">
        <v>144</v>
      </c>
      <c r="E16" s="272"/>
      <c r="F16" s="273"/>
    </row>
    <row r="17" spans="1:6" ht="15">
      <c r="A17" s="274"/>
      <c r="B17" s="275" t="s">
        <v>139</v>
      </c>
      <c r="C17" s="275" t="s">
        <v>143</v>
      </c>
      <c r="D17" s="275" t="s">
        <v>145</v>
      </c>
      <c r="E17" s="276"/>
      <c r="F17" s="247"/>
    </row>
  </sheetData>
  <sheetProtection/>
  <mergeCells count="8">
    <mergeCell ref="A15:A17"/>
    <mergeCell ref="A2:A3"/>
    <mergeCell ref="B2:B3"/>
    <mergeCell ref="A4:A5"/>
    <mergeCell ref="B4:B5"/>
    <mergeCell ref="A6:A7"/>
    <mergeCell ref="A12:A14"/>
    <mergeCell ref="B12:B14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KANATO</dc:creator>
  <cp:keywords/>
  <dc:description/>
  <cp:lastModifiedBy>Microsoft Office User</cp:lastModifiedBy>
  <cp:lastPrinted>2005-09-27T10:07:09Z</cp:lastPrinted>
  <dcterms:created xsi:type="dcterms:W3CDTF">2002-02-18T00:42:06Z</dcterms:created>
  <dcterms:modified xsi:type="dcterms:W3CDTF">2023-08-31T08:52:19Z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2009161568</vt:i4>
  </property>
  <property fmtid="{D5CDD505-2E9C-101B-9397-08002B2CF9AE}" pid="3" name="_EmailSubject">
    <vt:lpwstr>分析VD資料送ります。</vt:lpwstr>
  </property>
  <property fmtid="{D5CDD505-2E9C-101B-9397-08002B2CF9AE}" pid="4" name="_AuthorEmail">
    <vt:lpwstr>Toshiaki_Ishigaki@terumo.co.jp</vt:lpwstr>
  </property>
  <property fmtid="{D5CDD505-2E9C-101B-9397-08002B2CF9AE}" pid="5" name="_AuthorEmailDisplayName">
    <vt:lpwstr>Ishigaki Toshiaki</vt:lpwstr>
  </property>
  <property fmtid="{D5CDD505-2E9C-101B-9397-08002B2CF9AE}" pid="6" name="_ReviewingToolsShownOnce">
    <vt:lpwstr/>
  </property>
</Properties>
</file>